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zetova_a\Desktop\"/>
    </mc:Choice>
  </mc:AlternateContent>
  <xr:revisionPtr revIDLastSave="0" documentId="13_ncr:1_{CDD88CBF-1C56-40FD-B646-6D1F794A63A4}" xr6:coauthVersionLast="45" xr6:coauthVersionMax="45" xr10:uidLastSave="{00000000-0000-0000-0000-000000000000}"/>
  <bookViews>
    <workbookView xWindow="-120" yWindow="-120" windowWidth="29040" windowHeight="15840" xr2:uid="{15D03D93-DC4D-4914-BF0B-E665974F5C4E}"/>
  </bookViews>
  <sheets>
    <sheet name="дек19 (факт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</externalReferences>
  <definedNames>
    <definedName name="\a" localSheetId="0">#REF!</definedName>
    <definedName name="\a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__________SP1" localSheetId="0">[1]FES!#REF!</definedName>
    <definedName name="__________SP1">[1]FES!#REF!</definedName>
    <definedName name="__________SP10" localSheetId="0">[1]FES!#REF!</definedName>
    <definedName name="__________SP10">[1]FES!#REF!</definedName>
    <definedName name="__________SP11" localSheetId="0">[1]FES!#REF!</definedName>
    <definedName name="__________SP11">[1]FES!#REF!</definedName>
    <definedName name="__________SP12" localSheetId="0">[1]FES!#REF!</definedName>
    <definedName name="__________SP12">[1]FES!#REF!</definedName>
    <definedName name="__________SP13" localSheetId="0">[1]FES!#REF!</definedName>
    <definedName name="__________SP13">[1]FES!#REF!</definedName>
    <definedName name="__________SP14" localSheetId="0">[1]FES!#REF!</definedName>
    <definedName name="__________SP14">[1]FES!#REF!</definedName>
    <definedName name="__________SP15" localSheetId="0">[1]FES!#REF!</definedName>
    <definedName name="__________SP15">[1]FES!#REF!</definedName>
    <definedName name="__________SP16" localSheetId="0">[1]FES!#REF!</definedName>
    <definedName name="__________SP16">[1]FES!#REF!</definedName>
    <definedName name="__________SP17" localSheetId="0">[1]FES!#REF!</definedName>
    <definedName name="__________SP17">[1]FES!#REF!</definedName>
    <definedName name="__________SP18" localSheetId="0">[1]FES!#REF!</definedName>
    <definedName name="__________SP18">[1]FES!#REF!</definedName>
    <definedName name="__________SP19" localSheetId="0">[1]FES!#REF!</definedName>
    <definedName name="__________SP19">[1]FES!#REF!</definedName>
    <definedName name="__________SP2" localSheetId="0">[1]FES!#REF!</definedName>
    <definedName name="__________SP2">[1]FES!#REF!</definedName>
    <definedName name="__________SP20" localSheetId="0">[1]FES!#REF!</definedName>
    <definedName name="__________SP20">[1]FES!#REF!</definedName>
    <definedName name="__________SP3" localSheetId="0">[1]FES!#REF!</definedName>
    <definedName name="__________SP3">[1]FES!#REF!</definedName>
    <definedName name="__________SP4" localSheetId="0">[1]FES!#REF!</definedName>
    <definedName name="__________SP4">[1]FES!#REF!</definedName>
    <definedName name="__________SP5" localSheetId="0">[1]FES!#REF!</definedName>
    <definedName name="__________SP5">[1]FES!#REF!</definedName>
    <definedName name="__________SP7" localSheetId="0">[1]FES!#REF!</definedName>
    <definedName name="__________SP7">[1]FES!#REF!</definedName>
    <definedName name="__________SP8" localSheetId="0">[1]FES!#REF!</definedName>
    <definedName name="__________SP8">[1]FES!#REF!</definedName>
    <definedName name="__________SP9" localSheetId="0">[1]FES!#REF!</definedName>
    <definedName name="__________SP9">[1]FES!#REF!</definedName>
    <definedName name="_________SP1" localSheetId="0">[2]FES!#REF!</definedName>
    <definedName name="_________SP1">[2]FES!#REF!</definedName>
    <definedName name="_________SP10" localSheetId="0">[2]FES!#REF!</definedName>
    <definedName name="_________SP10">[2]FES!#REF!</definedName>
    <definedName name="_________SP11" localSheetId="0">[2]FES!#REF!</definedName>
    <definedName name="_________SP11">[2]FES!#REF!</definedName>
    <definedName name="_________SP12" localSheetId="0">[2]FES!#REF!</definedName>
    <definedName name="_________SP12">[2]FES!#REF!</definedName>
    <definedName name="_________SP13" localSheetId="0">[2]FES!#REF!</definedName>
    <definedName name="_________SP13">[2]FES!#REF!</definedName>
    <definedName name="_________SP14" localSheetId="0">[2]FES!#REF!</definedName>
    <definedName name="_________SP14">[2]FES!#REF!</definedName>
    <definedName name="_________SP15" localSheetId="0">[2]FES!#REF!</definedName>
    <definedName name="_________SP15">[2]FES!#REF!</definedName>
    <definedName name="_________SP16" localSheetId="0">[2]FES!#REF!</definedName>
    <definedName name="_________SP16">[2]FES!#REF!</definedName>
    <definedName name="_________SP17" localSheetId="0">[2]FES!#REF!</definedName>
    <definedName name="_________SP17">[2]FES!#REF!</definedName>
    <definedName name="_________SP18" localSheetId="0">[2]FES!#REF!</definedName>
    <definedName name="_________SP18">[2]FES!#REF!</definedName>
    <definedName name="_________SP19" localSheetId="0">[2]FES!#REF!</definedName>
    <definedName name="_________SP19">[2]FES!#REF!</definedName>
    <definedName name="_________SP2" localSheetId="0">[2]FES!#REF!</definedName>
    <definedName name="_________SP2">[2]FES!#REF!</definedName>
    <definedName name="_________SP20" localSheetId="0">[2]FES!#REF!</definedName>
    <definedName name="_________SP20">[2]FES!#REF!</definedName>
    <definedName name="_________SP3" localSheetId="0">[2]FES!#REF!</definedName>
    <definedName name="_________SP3">[2]FES!#REF!</definedName>
    <definedName name="_________SP4" localSheetId="0">[2]FES!#REF!</definedName>
    <definedName name="_________SP4">[2]FES!#REF!</definedName>
    <definedName name="_________SP5" localSheetId="0">[2]FES!#REF!</definedName>
    <definedName name="_________SP5">[2]FES!#REF!</definedName>
    <definedName name="_________SP7" localSheetId="0">[2]FES!#REF!</definedName>
    <definedName name="_________SP7">[2]FES!#REF!</definedName>
    <definedName name="_________SP8" localSheetId="0">[2]FES!#REF!</definedName>
    <definedName name="_________SP8">[2]FES!#REF!</definedName>
    <definedName name="_________SP9" localSheetId="0">[2]FES!#REF!</definedName>
    <definedName name="_________SP9">[2]FES!#REF!</definedName>
    <definedName name="________SP1" localSheetId="0">[3]FES!#REF!</definedName>
    <definedName name="________SP1">[3]FES!#REF!</definedName>
    <definedName name="________SP10" localSheetId="0">[3]FES!#REF!</definedName>
    <definedName name="________SP10">[3]FES!#REF!</definedName>
    <definedName name="________SP11" localSheetId="0">[3]FES!#REF!</definedName>
    <definedName name="________SP11">[3]FES!#REF!</definedName>
    <definedName name="________SP12" localSheetId="0">[3]FES!#REF!</definedName>
    <definedName name="________SP12">[3]FES!#REF!</definedName>
    <definedName name="________SP13" localSheetId="0">[3]FES!#REF!</definedName>
    <definedName name="________SP13">[3]FES!#REF!</definedName>
    <definedName name="________SP14" localSheetId="0">[3]FES!#REF!</definedName>
    <definedName name="________SP14">[3]FES!#REF!</definedName>
    <definedName name="________SP15" localSheetId="0">[3]FES!#REF!</definedName>
    <definedName name="________SP15">[3]FES!#REF!</definedName>
    <definedName name="________SP16" localSheetId="0">[3]FES!#REF!</definedName>
    <definedName name="________SP16">[3]FES!#REF!</definedName>
    <definedName name="________SP17" localSheetId="0">[3]FES!#REF!</definedName>
    <definedName name="________SP17">[3]FES!#REF!</definedName>
    <definedName name="________SP18" localSheetId="0">[3]FES!#REF!</definedName>
    <definedName name="________SP18">[3]FES!#REF!</definedName>
    <definedName name="________SP19" localSheetId="0">[3]FES!#REF!</definedName>
    <definedName name="________SP19">[3]FES!#REF!</definedName>
    <definedName name="________SP2" localSheetId="0">[3]FES!#REF!</definedName>
    <definedName name="________SP2">[3]FES!#REF!</definedName>
    <definedName name="________SP20" localSheetId="0">[3]FES!#REF!</definedName>
    <definedName name="________SP20">[3]FES!#REF!</definedName>
    <definedName name="________SP3" localSheetId="0">[3]FES!#REF!</definedName>
    <definedName name="________SP3">[3]FES!#REF!</definedName>
    <definedName name="________SP4" localSheetId="0">[3]FES!#REF!</definedName>
    <definedName name="________SP4">[3]FES!#REF!</definedName>
    <definedName name="________SP5" localSheetId="0">[3]FES!#REF!</definedName>
    <definedName name="________SP5">[3]FES!#REF!</definedName>
    <definedName name="________SP7" localSheetId="0">[3]FES!#REF!</definedName>
    <definedName name="________SP7">[3]FES!#REF!</definedName>
    <definedName name="________SP8" localSheetId="0">[3]FES!#REF!</definedName>
    <definedName name="________SP8">[3]FES!#REF!</definedName>
    <definedName name="________SP9" localSheetId="0">[3]FES!#REF!</definedName>
    <definedName name="________SP9">[3]FES!#REF!</definedName>
    <definedName name="_______SP1" localSheetId="0">[2]FES!#REF!</definedName>
    <definedName name="_______SP1">[2]FES!#REF!</definedName>
    <definedName name="_______SP10" localSheetId="0">[2]FES!#REF!</definedName>
    <definedName name="_______SP10">[2]FES!#REF!</definedName>
    <definedName name="_______SP11" localSheetId="0">[2]FES!#REF!</definedName>
    <definedName name="_______SP11">[2]FES!#REF!</definedName>
    <definedName name="_______SP12" localSheetId="0">[2]FES!#REF!</definedName>
    <definedName name="_______SP12">[2]FES!#REF!</definedName>
    <definedName name="_______SP13" localSheetId="0">[2]FES!#REF!</definedName>
    <definedName name="_______SP13">[2]FES!#REF!</definedName>
    <definedName name="_______SP14" localSheetId="0">[2]FES!#REF!</definedName>
    <definedName name="_______SP14">[2]FES!#REF!</definedName>
    <definedName name="_______SP15" localSheetId="0">[2]FES!#REF!</definedName>
    <definedName name="_______SP15">[2]FES!#REF!</definedName>
    <definedName name="_______SP16" localSheetId="0">[2]FES!#REF!</definedName>
    <definedName name="_______SP16">[2]FES!#REF!</definedName>
    <definedName name="_______SP17" localSheetId="0">[2]FES!#REF!</definedName>
    <definedName name="_______SP17">[2]FES!#REF!</definedName>
    <definedName name="_______SP18" localSheetId="0">[2]FES!#REF!</definedName>
    <definedName name="_______SP18">[2]FES!#REF!</definedName>
    <definedName name="_______SP19" localSheetId="0">[2]FES!#REF!</definedName>
    <definedName name="_______SP19">[2]FES!#REF!</definedName>
    <definedName name="_______SP2" localSheetId="0">[2]FES!#REF!</definedName>
    <definedName name="_______SP2">[2]FES!#REF!</definedName>
    <definedName name="_______SP20" localSheetId="0">[2]FES!#REF!</definedName>
    <definedName name="_______SP20">[2]FES!#REF!</definedName>
    <definedName name="_______SP3" localSheetId="0">[2]FES!#REF!</definedName>
    <definedName name="_______SP3">[2]FES!#REF!</definedName>
    <definedName name="_______SP4" localSheetId="0">[2]FES!#REF!</definedName>
    <definedName name="_______SP4">[2]FES!#REF!</definedName>
    <definedName name="_______SP5" localSheetId="0">[2]FES!#REF!</definedName>
    <definedName name="_______SP5">[2]FES!#REF!</definedName>
    <definedName name="_______SP7" localSheetId="0">[2]FES!#REF!</definedName>
    <definedName name="_______SP7">[2]FES!#REF!</definedName>
    <definedName name="_______SP8" localSheetId="0">[2]FES!#REF!</definedName>
    <definedName name="_______SP8">[2]FES!#REF!</definedName>
    <definedName name="_______SP9" localSheetId="0">[2]FES!#REF!</definedName>
    <definedName name="_______SP9">[2]FES!#REF!</definedName>
    <definedName name="______SP1" localSheetId="0">[2]FES!#REF!</definedName>
    <definedName name="______SP1">[2]FES!#REF!</definedName>
    <definedName name="______SP10" localSheetId="0">[2]FES!#REF!</definedName>
    <definedName name="______SP10">[2]FES!#REF!</definedName>
    <definedName name="______SP11" localSheetId="0">[2]FES!#REF!</definedName>
    <definedName name="______SP11">[2]FES!#REF!</definedName>
    <definedName name="______SP12" localSheetId="0">[2]FES!#REF!</definedName>
    <definedName name="______SP12">[2]FES!#REF!</definedName>
    <definedName name="______SP13" localSheetId="0">[2]FES!#REF!</definedName>
    <definedName name="______SP13">[2]FES!#REF!</definedName>
    <definedName name="______SP14" localSheetId="0">[2]FES!#REF!</definedName>
    <definedName name="______SP14">[2]FES!#REF!</definedName>
    <definedName name="______SP15" localSheetId="0">[2]FES!#REF!</definedName>
    <definedName name="______SP15">[2]FES!#REF!</definedName>
    <definedName name="______SP16" localSheetId="0">[2]FES!#REF!</definedName>
    <definedName name="______SP16">[2]FES!#REF!</definedName>
    <definedName name="______SP17" localSheetId="0">[2]FES!#REF!</definedName>
    <definedName name="______SP17">[2]FES!#REF!</definedName>
    <definedName name="______SP18" localSheetId="0">[2]FES!#REF!</definedName>
    <definedName name="______SP18">[2]FES!#REF!</definedName>
    <definedName name="______SP19" localSheetId="0">[2]FES!#REF!</definedName>
    <definedName name="______SP19">[2]FES!#REF!</definedName>
    <definedName name="______SP2" localSheetId="0">[2]FES!#REF!</definedName>
    <definedName name="______SP2">[2]FES!#REF!</definedName>
    <definedName name="______SP20" localSheetId="0">[2]FES!#REF!</definedName>
    <definedName name="______SP20">[2]FES!#REF!</definedName>
    <definedName name="______SP3" localSheetId="0">[2]FES!#REF!</definedName>
    <definedName name="______SP3">[2]FES!#REF!</definedName>
    <definedName name="______SP4" localSheetId="0">[2]FES!#REF!</definedName>
    <definedName name="______SP4">[2]FES!#REF!</definedName>
    <definedName name="______SP5" localSheetId="0">[2]FES!#REF!</definedName>
    <definedName name="______SP5">[2]FES!#REF!</definedName>
    <definedName name="______SP7" localSheetId="0">[2]FES!#REF!</definedName>
    <definedName name="______SP7">[2]FES!#REF!</definedName>
    <definedName name="______SP8" localSheetId="0">[2]FES!#REF!</definedName>
    <definedName name="______SP8">[2]FES!#REF!</definedName>
    <definedName name="______SP9" localSheetId="0">[2]FES!#REF!</definedName>
    <definedName name="______SP9">[2]FES!#REF!</definedName>
    <definedName name="_____B650000" localSheetId="0">#REF!</definedName>
    <definedName name="_____B650000">#REF!</definedName>
    <definedName name="_____SP1" localSheetId="0">[2]FES!#REF!</definedName>
    <definedName name="_____SP1">[2]FES!#REF!</definedName>
    <definedName name="_____SP10" localSheetId="0">[2]FES!#REF!</definedName>
    <definedName name="_____SP10">[2]FES!#REF!</definedName>
    <definedName name="_____SP11" localSheetId="0">[2]FES!#REF!</definedName>
    <definedName name="_____SP11">[2]FES!#REF!</definedName>
    <definedName name="_____SP12" localSheetId="0">[2]FES!#REF!</definedName>
    <definedName name="_____SP12">[2]FES!#REF!</definedName>
    <definedName name="_____SP13" localSheetId="0">[2]FES!#REF!</definedName>
    <definedName name="_____SP13">[2]FES!#REF!</definedName>
    <definedName name="_____SP14" localSheetId="0">[2]FES!#REF!</definedName>
    <definedName name="_____SP14">[2]FES!#REF!</definedName>
    <definedName name="_____SP15" localSheetId="0">[2]FES!#REF!</definedName>
    <definedName name="_____SP15">[2]FES!#REF!</definedName>
    <definedName name="_____SP16" localSheetId="0">[2]FES!#REF!</definedName>
    <definedName name="_____SP16">[2]FES!#REF!</definedName>
    <definedName name="_____SP17" localSheetId="0">[2]FES!#REF!</definedName>
    <definedName name="_____SP17">[2]FES!#REF!</definedName>
    <definedName name="_____SP18" localSheetId="0">[2]FES!#REF!</definedName>
    <definedName name="_____SP18">[2]FES!#REF!</definedName>
    <definedName name="_____SP19" localSheetId="0">[2]FES!#REF!</definedName>
    <definedName name="_____SP19">[2]FES!#REF!</definedName>
    <definedName name="_____SP2" localSheetId="0">[2]FES!#REF!</definedName>
    <definedName name="_____SP2">[2]FES!#REF!</definedName>
    <definedName name="_____SP20" localSheetId="0">[2]FES!#REF!</definedName>
    <definedName name="_____SP20">[2]FES!#REF!</definedName>
    <definedName name="_____SP3" localSheetId="0">[2]FES!#REF!</definedName>
    <definedName name="_____SP3">[2]FES!#REF!</definedName>
    <definedName name="_____SP4" localSheetId="0">[2]FES!#REF!</definedName>
    <definedName name="_____SP4">[2]FES!#REF!</definedName>
    <definedName name="_____SP5" localSheetId="0">[2]FES!#REF!</definedName>
    <definedName name="_____SP5">[2]FES!#REF!</definedName>
    <definedName name="_____SP7" localSheetId="0">[2]FES!#REF!</definedName>
    <definedName name="_____SP7">[2]FES!#REF!</definedName>
    <definedName name="_____SP8" localSheetId="0">[2]FES!#REF!</definedName>
    <definedName name="_____SP8">[2]FES!#REF!</definedName>
    <definedName name="_____SP9" localSheetId="0">[2]FES!#REF!</definedName>
    <definedName name="_____SP9">[2]FES!#REF!</definedName>
    <definedName name="____B270000" localSheetId="0">#REF!</definedName>
    <definedName name="____B270000">#REF!</definedName>
    <definedName name="____B650000" localSheetId="0">#REF!</definedName>
    <definedName name="____B650000">#REF!</definedName>
    <definedName name="____DAT1" localSheetId="0">'[4]ЦХЛ 2004'!#REF!</definedName>
    <definedName name="____DAT1">'[4]ЦХЛ 2004'!#REF!</definedName>
    <definedName name="____DAT2" localSheetId="0">'[4]ЦХЛ 2004'!#REF!</definedName>
    <definedName name="____DAT2">'[4]ЦХЛ 2004'!#REF!</definedName>
    <definedName name="____DAT3" localSheetId="0">'[4]ЦХЛ 2004'!#REF!</definedName>
    <definedName name="____DAT3">'[4]ЦХЛ 2004'!#REF!</definedName>
    <definedName name="____DAT4" localSheetId="0">'[4]ЦХЛ 2004'!#REF!</definedName>
    <definedName name="____DAT4">'[4]ЦХЛ 2004'!#REF!</definedName>
    <definedName name="____DAT5" localSheetId="0">'[4]ЦХЛ 2004'!#REF!</definedName>
    <definedName name="____DAT5">'[4]ЦХЛ 2004'!#REF!</definedName>
    <definedName name="____DAT7" localSheetId="0">#REF!</definedName>
    <definedName name="____DAT7">#REF!</definedName>
    <definedName name="____DAT8" localSheetId="0">#REF!</definedName>
    <definedName name="____DAT8">#REF!</definedName>
    <definedName name="____DAT9" localSheetId="0">#REF!</definedName>
    <definedName name="____DAT9">#REF!</definedName>
    <definedName name="____SP1" localSheetId="0">[2]FES!#REF!</definedName>
    <definedName name="____SP1">[2]FES!#REF!</definedName>
    <definedName name="____SP10" localSheetId="0">[2]FES!#REF!</definedName>
    <definedName name="____SP10">[2]FES!#REF!</definedName>
    <definedName name="____SP11" localSheetId="0">[2]FES!#REF!</definedName>
    <definedName name="____SP11">[2]FES!#REF!</definedName>
    <definedName name="____SP12" localSheetId="0">[2]FES!#REF!</definedName>
    <definedName name="____SP12">[2]FES!#REF!</definedName>
    <definedName name="____SP13" localSheetId="0">[2]FES!#REF!</definedName>
    <definedName name="____SP13">[2]FES!#REF!</definedName>
    <definedName name="____SP14" localSheetId="0">[2]FES!#REF!</definedName>
    <definedName name="____SP14">[2]FES!#REF!</definedName>
    <definedName name="____SP15" localSheetId="0">[2]FES!#REF!</definedName>
    <definedName name="____SP15">[2]FES!#REF!</definedName>
    <definedName name="____SP16" localSheetId="0">[2]FES!#REF!</definedName>
    <definedName name="____SP16">[2]FES!#REF!</definedName>
    <definedName name="____SP17" localSheetId="0">[2]FES!#REF!</definedName>
    <definedName name="____SP17">[2]FES!#REF!</definedName>
    <definedName name="____SP18" localSheetId="0">[2]FES!#REF!</definedName>
    <definedName name="____SP18">[2]FES!#REF!</definedName>
    <definedName name="____SP19" localSheetId="0">[2]FES!#REF!</definedName>
    <definedName name="____SP19">[2]FES!#REF!</definedName>
    <definedName name="____SP2" localSheetId="0">[2]FES!#REF!</definedName>
    <definedName name="____SP2">[2]FES!#REF!</definedName>
    <definedName name="____SP20" localSheetId="0">[2]FES!#REF!</definedName>
    <definedName name="____SP20">[2]FES!#REF!</definedName>
    <definedName name="____SP3" localSheetId="0">[2]FES!#REF!</definedName>
    <definedName name="____SP3">[2]FES!#REF!</definedName>
    <definedName name="____SP4" localSheetId="0">[2]FES!#REF!</definedName>
    <definedName name="____SP4">[2]FES!#REF!</definedName>
    <definedName name="____SP5" localSheetId="0">[2]FES!#REF!</definedName>
    <definedName name="____SP5">[2]FES!#REF!</definedName>
    <definedName name="____SP7" localSheetId="0">[2]FES!#REF!</definedName>
    <definedName name="____SP7">[2]FES!#REF!</definedName>
    <definedName name="____SP8" localSheetId="0">[2]FES!#REF!</definedName>
    <definedName name="____SP8">[2]FES!#REF!</definedName>
    <definedName name="____SP9" localSheetId="0">[2]FES!#REF!</definedName>
    <definedName name="____SP9">[2]FES!#REF!</definedName>
    <definedName name="___B270000" localSheetId="0">#REF!</definedName>
    <definedName name="___B270000">#REF!</definedName>
    <definedName name="___B650000" localSheetId="0">#REF!</definedName>
    <definedName name="___B650000">#REF!</definedName>
    <definedName name="___DAT1" localSheetId="0">'[4]ЦХЛ 2004'!#REF!</definedName>
    <definedName name="___DAT1">'[4]ЦХЛ 2004'!#REF!</definedName>
    <definedName name="___DAT2" localSheetId="0">'[4]ЦХЛ 2004'!#REF!</definedName>
    <definedName name="___DAT2">'[4]ЦХЛ 2004'!#REF!</definedName>
    <definedName name="___DAT3" localSheetId="0">'[4]ЦХЛ 2004'!#REF!</definedName>
    <definedName name="___DAT3">'[4]ЦХЛ 2004'!#REF!</definedName>
    <definedName name="___DAT4" localSheetId="0">'[4]ЦХЛ 2004'!#REF!</definedName>
    <definedName name="___DAT4">'[4]ЦХЛ 2004'!#REF!</definedName>
    <definedName name="___DAT5" localSheetId="0">'[4]ЦХЛ 2004'!#REF!</definedName>
    <definedName name="___DAT5">'[4]ЦХЛ 2004'!#REF!</definedName>
    <definedName name="___DAT6" localSheetId="0">#REF!</definedName>
    <definedName name="___DAT6">#REF!</definedName>
    <definedName name="___DAT7" localSheetId="0">#REF!</definedName>
    <definedName name="___DAT7">#REF!</definedName>
    <definedName name="___DAT8" localSheetId="0">#REF!</definedName>
    <definedName name="___DAT8">#REF!</definedName>
    <definedName name="___DAT9" localSheetId="0">#REF!</definedName>
    <definedName name="___DAT9">#REF!</definedName>
    <definedName name="___SP1" localSheetId="0">[5]FES!#REF!</definedName>
    <definedName name="___SP1">[5]FES!#REF!</definedName>
    <definedName name="___SP10" localSheetId="0">[5]FES!#REF!</definedName>
    <definedName name="___SP10">[5]FES!#REF!</definedName>
    <definedName name="___SP11" localSheetId="0">[5]FES!#REF!</definedName>
    <definedName name="___SP11">[5]FES!#REF!</definedName>
    <definedName name="___SP12" localSheetId="0">[5]FES!#REF!</definedName>
    <definedName name="___SP12">[5]FES!#REF!</definedName>
    <definedName name="___SP13" localSheetId="0">[5]FES!#REF!</definedName>
    <definedName name="___SP13">[5]FES!#REF!</definedName>
    <definedName name="___SP14" localSheetId="0">[5]FES!#REF!</definedName>
    <definedName name="___SP14">[5]FES!#REF!</definedName>
    <definedName name="___SP15" localSheetId="0">[5]FES!#REF!</definedName>
    <definedName name="___SP15">[5]FES!#REF!</definedName>
    <definedName name="___SP16" localSheetId="0">[5]FES!#REF!</definedName>
    <definedName name="___SP16">[5]FES!#REF!</definedName>
    <definedName name="___SP17" localSheetId="0">[5]FES!#REF!</definedName>
    <definedName name="___SP17">[5]FES!#REF!</definedName>
    <definedName name="___SP18" localSheetId="0">[5]FES!#REF!</definedName>
    <definedName name="___SP18">[5]FES!#REF!</definedName>
    <definedName name="___SP19" localSheetId="0">[5]FES!#REF!</definedName>
    <definedName name="___SP19">[5]FES!#REF!</definedName>
    <definedName name="___SP2" localSheetId="0">[5]FES!#REF!</definedName>
    <definedName name="___SP2">[5]FES!#REF!</definedName>
    <definedName name="___SP20" localSheetId="0">[5]FES!#REF!</definedName>
    <definedName name="___SP20">[5]FES!#REF!</definedName>
    <definedName name="___SP3" localSheetId="0">[5]FES!#REF!</definedName>
    <definedName name="___SP3">[5]FES!#REF!</definedName>
    <definedName name="___SP4" localSheetId="0">[5]FES!#REF!</definedName>
    <definedName name="___SP4">[5]FES!#REF!</definedName>
    <definedName name="___SP5" localSheetId="0">[5]FES!#REF!</definedName>
    <definedName name="___SP5">[5]FES!#REF!</definedName>
    <definedName name="___SP7" localSheetId="0">[5]FES!#REF!</definedName>
    <definedName name="___SP7">[5]FES!#REF!</definedName>
    <definedName name="___SP8" localSheetId="0">[5]FES!#REF!</definedName>
    <definedName name="___SP8">[5]FES!#REF!</definedName>
    <definedName name="___SP9" localSheetId="0">[5]FES!#REF!</definedName>
    <definedName name="___SP9">[5]FES!#REF!</definedName>
    <definedName name="__B270000" localSheetId="0">#REF!</definedName>
    <definedName name="__B270000">#REF!</definedName>
    <definedName name="__B650000" localSheetId="0">#REF!</definedName>
    <definedName name="__B650000">#REF!</definedName>
    <definedName name="__DAT6" localSheetId="0">#REF!</definedName>
    <definedName name="__DAT6">#REF!</definedName>
    <definedName name="__DAT7" localSheetId="0">#REF!</definedName>
    <definedName name="__DAT7">#REF!</definedName>
    <definedName name="__DAT8" localSheetId="0">#REF!</definedName>
    <definedName name="__DAT8">#REF!</definedName>
    <definedName name="__DAT9" localSheetId="0">#REF!</definedName>
    <definedName name="__DAT9">#REF!</definedName>
    <definedName name="__SP1" localSheetId="0">[2]FES!#REF!</definedName>
    <definedName name="__SP1">[2]FES!#REF!</definedName>
    <definedName name="__SP10" localSheetId="0">[2]FES!#REF!</definedName>
    <definedName name="__SP10">[2]FES!#REF!</definedName>
    <definedName name="__SP11" localSheetId="0">[2]FES!#REF!</definedName>
    <definedName name="__SP11">[2]FES!#REF!</definedName>
    <definedName name="__SP12" localSheetId="0">[2]FES!#REF!</definedName>
    <definedName name="__SP12">[2]FES!#REF!</definedName>
    <definedName name="__SP13" localSheetId="0">[2]FES!#REF!</definedName>
    <definedName name="__SP13">[2]FES!#REF!</definedName>
    <definedName name="__SP14" localSheetId="0">[2]FES!#REF!</definedName>
    <definedName name="__SP14">[2]FES!#REF!</definedName>
    <definedName name="__SP15" localSheetId="0">[2]FES!#REF!</definedName>
    <definedName name="__SP15">[2]FES!#REF!</definedName>
    <definedName name="__SP16" localSheetId="0">[2]FES!#REF!</definedName>
    <definedName name="__SP16">[2]FES!#REF!</definedName>
    <definedName name="__SP17" localSheetId="0">[2]FES!#REF!</definedName>
    <definedName name="__SP17">[2]FES!#REF!</definedName>
    <definedName name="__SP18" localSheetId="0">[2]FES!#REF!</definedName>
    <definedName name="__SP18">[2]FES!#REF!</definedName>
    <definedName name="__SP19" localSheetId="0">[2]FES!#REF!</definedName>
    <definedName name="__SP19">[2]FES!#REF!</definedName>
    <definedName name="__SP2" localSheetId="0">[2]FES!#REF!</definedName>
    <definedName name="__SP2">[2]FES!#REF!</definedName>
    <definedName name="__SP20" localSheetId="0">[2]FES!#REF!</definedName>
    <definedName name="__SP20">[2]FES!#REF!</definedName>
    <definedName name="__SP3" localSheetId="0">[2]FES!#REF!</definedName>
    <definedName name="__SP3">[2]FES!#REF!</definedName>
    <definedName name="__SP4" localSheetId="0">[2]FES!#REF!</definedName>
    <definedName name="__SP4">[2]FES!#REF!</definedName>
    <definedName name="__SP5" localSheetId="0">[2]FES!#REF!</definedName>
    <definedName name="__SP5">[2]FES!#REF!</definedName>
    <definedName name="__SP7" localSheetId="0">[2]FES!#REF!</definedName>
    <definedName name="__SP7">[2]FES!#REF!</definedName>
    <definedName name="__SP8" localSheetId="0">[2]FES!#REF!</definedName>
    <definedName name="__SP8">[2]FES!#REF!</definedName>
    <definedName name="__SP9" localSheetId="0">[2]FES!#REF!</definedName>
    <definedName name="__SP9">[2]FES!#REF!</definedName>
    <definedName name="_a" localSheetId="0">#REF!</definedName>
    <definedName name="_a">#REF!</definedName>
    <definedName name="_a_13" localSheetId="0">#REF!</definedName>
    <definedName name="_a_13">#REF!</definedName>
    <definedName name="_a_16" localSheetId="0">#REF!</definedName>
    <definedName name="_a_16">#REF!</definedName>
    <definedName name="_a_18" localSheetId="0">#REF!</definedName>
    <definedName name="_a_18">#REF!</definedName>
    <definedName name="_B270000" localSheetId="0">#REF!</definedName>
    <definedName name="_B270000">#REF!</definedName>
    <definedName name="_B650000" localSheetId="0">#REF!</definedName>
    <definedName name="_B650000">#REF!</definedName>
    <definedName name="_DAT1" localSheetId="0">'[4]ЦХЛ 2004'!#REF!</definedName>
    <definedName name="_DAT1">'[4]ЦХЛ 2004'!#REF!</definedName>
    <definedName name="_DAT2" localSheetId="0">'[4]ЦХЛ 2004'!#REF!</definedName>
    <definedName name="_DAT2">'[4]ЦХЛ 2004'!#REF!</definedName>
    <definedName name="_DAT3" localSheetId="0">'[4]ЦХЛ 2004'!#REF!</definedName>
    <definedName name="_DAT3">'[4]ЦХЛ 2004'!#REF!</definedName>
    <definedName name="_DAT4" localSheetId="0">'[4]ЦХЛ 2004'!#REF!</definedName>
    <definedName name="_DAT4">'[4]ЦХЛ 2004'!#REF!</definedName>
    <definedName name="_DAT5" localSheetId="0">'[4]ЦХЛ 2004'!#REF!</definedName>
    <definedName name="_DAT5">'[4]ЦХЛ 2004'!#REF!</definedName>
    <definedName name="_DAT6" localSheetId="0">#REF!</definedName>
    <definedName name="_DAT6">#REF!</definedName>
    <definedName name="_DAT7" localSheetId="0">#REF!</definedName>
    <definedName name="_DAT7">#REF!</definedName>
    <definedName name="_DAT8" localSheetId="0">#REF!</definedName>
    <definedName name="_DAT8">#REF!</definedName>
    <definedName name="_DAT9" localSheetId="0">#REF!</definedName>
    <definedName name="_DAT9">#REF!</definedName>
    <definedName name="_lp280202" localSheetId="0">#REF!</definedName>
    <definedName name="_lp280202">#REF!</definedName>
    <definedName name="_m" localSheetId="0">#REF!</definedName>
    <definedName name="_m">#REF!</definedName>
    <definedName name="_m_13" localSheetId="0">#REF!</definedName>
    <definedName name="_m_13">#REF!</definedName>
    <definedName name="_m_16" localSheetId="0">#REF!</definedName>
    <definedName name="_m_16">#REF!</definedName>
    <definedName name="_m_18" localSheetId="0">#REF!</definedName>
    <definedName name="_m_18">#REF!</definedName>
    <definedName name="_m_list">[6]Dictionaries!$B$2:$B$13</definedName>
    <definedName name="_n" localSheetId="0">#REF!</definedName>
    <definedName name="_n">#REF!</definedName>
    <definedName name="_n_13" localSheetId="0">#REF!</definedName>
    <definedName name="_n_13">#REF!</definedName>
    <definedName name="_n_16" localSheetId="0">#REF!</definedName>
    <definedName name="_n_16">#REF!</definedName>
    <definedName name="_n_18" localSheetId="0">#REF!</definedName>
    <definedName name="_n_18">#REF!</definedName>
    <definedName name="_o" localSheetId="0">#REF!</definedName>
    <definedName name="_o">#REF!</definedName>
    <definedName name="_o_13" localSheetId="0">#REF!</definedName>
    <definedName name="_o_13">#REF!</definedName>
    <definedName name="_o_16" localSheetId="0">#REF!</definedName>
    <definedName name="_o_16">#REF!</definedName>
    <definedName name="_o_18" localSheetId="0">#REF!</definedName>
    <definedName name="_o_18">#REF!</definedName>
    <definedName name="_period">[7]Содержание!$D$4</definedName>
    <definedName name="_SP1" localSheetId="0">[2]FES!#REF!</definedName>
    <definedName name="_SP1">[2]FES!#REF!</definedName>
    <definedName name="_SP10" localSheetId="0">[2]FES!#REF!</definedName>
    <definedName name="_SP10">[2]FES!#REF!</definedName>
    <definedName name="_SP11" localSheetId="0">[2]FES!#REF!</definedName>
    <definedName name="_SP11">[2]FES!#REF!</definedName>
    <definedName name="_SP12" localSheetId="0">[2]FES!#REF!</definedName>
    <definedName name="_SP12">[2]FES!#REF!</definedName>
    <definedName name="_SP13" localSheetId="0">[2]FES!#REF!</definedName>
    <definedName name="_SP13">[2]FES!#REF!</definedName>
    <definedName name="_SP14" localSheetId="0">[2]FES!#REF!</definedName>
    <definedName name="_SP14">[2]FES!#REF!</definedName>
    <definedName name="_SP15" localSheetId="0">[2]FES!#REF!</definedName>
    <definedName name="_SP15">[2]FES!#REF!</definedName>
    <definedName name="_SP16" localSheetId="0">[2]FES!#REF!</definedName>
    <definedName name="_SP16">[2]FES!#REF!</definedName>
    <definedName name="_SP17" localSheetId="0">[2]FES!#REF!</definedName>
    <definedName name="_SP17">[2]FES!#REF!</definedName>
    <definedName name="_SP18" localSheetId="0">[2]FES!#REF!</definedName>
    <definedName name="_SP18">[2]FES!#REF!</definedName>
    <definedName name="_SP19" localSheetId="0">[2]FES!#REF!</definedName>
    <definedName name="_SP19">[2]FES!#REF!</definedName>
    <definedName name="_SP2" localSheetId="0">[2]FES!#REF!</definedName>
    <definedName name="_SP2">[2]FES!#REF!</definedName>
    <definedName name="_SP20" localSheetId="0">[2]FES!#REF!</definedName>
    <definedName name="_SP20">[2]FES!#REF!</definedName>
    <definedName name="_SP3" localSheetId="0">[2]FES!#REF!</definedName>
    <definedName name="_SP3">[2]FES!#REF!</definedName>
    <definedName name="_SP4" localSheetId="0">[2]FES!#REF!</definedName>
    <definedName name="_SP4">[2]FES!#REF!</definedName>
    <definedName name="_SP5" localSheetId="0">[2]FES!#REF!</definedName>
    <definedName name="_SP5">[2]FES!#REF!</definedName>
    <definedName name="_SP7" localSheetId="0">[2]FES!#REF!</definedName>
    <definedName name="_SP7">[2]FES!#REF!</definedName>
    <definedName name="_SP8" localSheetId="0">[2]FES!#REF!</definedName>
    <definedName name="_SP8">[2]FES!#REF!</definedName>
    <definedName name="_SP9" localSheetId="0">[2]FES!#REF!</definedName>
    <definedName name="_SP9">[2]FES!#REF!</definedName>
    <definedName name="_US1" localSheetId="0">#REF!</definedName>
    <definedName name="_US1">#REF!</definedName>
    <definedName name="_year">[7]Содержание!$D$5</definedName>
    <definedName name="_xlnm._FilterDatabase" localSheetId="0" hidden="1">'дек19 (факт)'!$A$8:$BT$344</definedName>
    <definedName name="aaaa" localSheetId="0" hidden="1">{#N/A,#N/A,FALSE,"Сентябрь";#N/A,#N/A,FALSE,"Пояснительная сентябре 99"}</definedName>
    <definedName name="aaaa" hidden="1">{#N/A,#N/A,FALSE,"Сентябрь";#N/A,#N/A,FALSE,"Пояснительная сентябре 99"}</definedName>
    <definedName name="abc" localSheetId="0" hidden="1">{#N/A,#N/A,FALSE,"Aging Summary";#N/A,#N/A,FALSE,"Ratio Analysis";#N/A,#N/A,FALSE,"Test 120 Day Accts";#N/A,#N/A,FALSE,"Tickmarks"}</definedName>
    <definedName name="abc" hidden="1">{#N/A,#N/A,FALSE,"Aging Summary";#N/A,#N/A,FALSE,"Ratio Analysis";#N/A,#N/A,FALSE,"Test 120 Day Accts";#N/A,#N/A,FALSE,"Tickmarks"}</definedName>
    <definedName name="Account_Balance" localSheetId="0">#REF!</definedName>
    <definedName name="Account_Balance">#REF!</definedName>
    <definedName name="ANLAGE_III">[8]Anlagevermögen!$A$1:$Z$29</definedName>
    <definedName name="APL" localSheetId="0" hidden="1">{#N/A,#N/A,FALSE,"Aging Summary";#N/A,#N/A,FALSE,"Ratio Analysis";#N/A,#N/A,FALSE,"Test 120 Day Accts";#N/A,#N/A,FALSE,"Tickmarks"}</definedName>
    <definedName name="APL" hidden="1">{#N/A,#N/A,FALSE,"Aging Summary";#N/A,#N/A,FALSE,"Ratio Analysis";#N/A,#N/A,FALSE,"Test 120 Day Accts";#N/A,#N/A,FALSE,"Tickmarks"}</definedName>
    <definedName name="ARA_Threshold" localSheetId="0">#REF!</definedName>
    <definedName name="ARA_Threshold">#REF!</definedName>
    <definedName name="ARP_Threshold" localSheetId="0">#REF!</definedName>
    <definedName name="ARP_Threshold">#REF!</definedName>
    <definedName name="as" localSheetId="0">[9]!as</definedName>
    <definedName name="as">[9]!as</definedName>
    <definedName name="AS2DocOpenMode" hidden="1">"AS2DocumentEdit"</definedName>
    <definedName name="AS2HasNoAutoHeaderFooter" hidden="1">" "</definedName>
    <definedName name="AS2NamedRange" hidden="1">15</definedName>
    <definedName name="AS2ReportLS" hidden="1">1</definedName>
    <definedName name="AS2StaticLS" localSheetId="0" hidden="1">#REF!</definedName>
    <definedName name="AS2StaticLS" hidden="1">#REF!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asdf" localSheetId="0">#REF!</definedName>
    <definedName name="asdf">#REF!</definedName>
    <definedName name="assel" localSheetId="0">#REF!</definedName>
    <definedName name="assel">#REF!</definedName>
    <definedName name="aud_month" localSheetId="0">#REF!</definedName>
    <definedName name="aud_month">#REF!</definedName>
    <definedName name="aud_year" localSheetId="0">#REF!</definedName>
    <definedName name="aud_year">#REF!</definedName>
    <definedName name="B" localSheetId="0">'[10]д.7.001'!#REF!</definedName>
    <definedName name="B">'[10]д.7.001'!#REF!</definedName>
    <definedName name="B6500000" localSheetId="0">#REF!</definedName>
    <definedName name="B6500000">#REF!</definedName>
    <definedName name="Bal_Sheet" localSheetId="0">#REF!</definedName>
    <definedName name="Bal_Sheet">#REF!</definedName>
    <definedName name="Bal_Sheet1" localSheetId="0">#REF!</definedName>
    <definedName name="Bal_Sheet1">#REF!</definedName>
    <definedName name="basic_level">'[11]Threshold Table'!$A$6:$C$11</definedName>
    <definedName name="bb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b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bbb" localSheetId="0" hidden="1">{#N/A,#N/A,FALSE,"МТВ"}</definedName>
    <definedName name="bbbb" hidden="1">{#N/A,#N/A,FALSE,"МТВ"}</definedName>
    <definedName name="Beg_Bal" localSheetId="0">#REF!</definedName>
    <definedName name="Beg_Bal">#REF!</definedName>
    <definedName name="BG_Del" hidden="1">15</definedName>
    <definedName name="BG_Ins" hidden="1">4</definedName>
    <definedName name="BG_Mod" hidden="1">6</definedName>
    <definedName name="bpvty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bpvty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cad_month" localSheetId="0">#REF!</definedName>
    <definedName name="cad_month">#REF!</definedName>
    <definedName name="cad_year" localSheetId="0">#REF!</definedName>
    <definedName name="cad_year">#REF!</definedName>
    <definedName name="Canada" localSheetId="0">#REF!</definedName>
    <definedName name="Canada">#REF!</definedName>
    <definedName name="Canada1" localSheetId="0">#REF!</definedName>
    <definedName name="Canada1">#REF!</definedName>
    <definedName name="Canadian_Occidental_Petroleum_Ltd." localSheetId="0">#REF!</definedName>
    <definedName name="Canadian_Occidental_Petroleum_Ltd.">#REF!</definedName>
    <definedName name="cd" localSheetId="0">#REF!</definedName>
    <definedName name="cd">#REF!</definedName>
    <definedName name="CF_AccruedExpenses" localSheetId="0">#REF!</definedName>
    <definedName name="CF_AccruedExpenses">#REF!</definedName>
    <definedName name="CF_Cash" localSheetId="0">#REF!</definedName>
    <definedName name="CF_Cash">#REF!</definedName>
    <definedName name="CF_CurrentLTDebit" localSheetId="0">#REF!</definedName>
    <definedName name="CF_CurrentLTDebit">#REF!</definedName>
    <definedName name="CF_DeferredTax" localSheetId="0">#REF!</definedName>
    <definedName name="CF_DeferredTax">#REF!</definedName>
    <definedName name="CF_Dividends" localSheetId="0">#REF!</definedName>
    <definedName name="CF_Dividends">#REF!</definedName>
    <definedName name="CF_Intangibles" localSheetId="0">#REF!</definedName>
    <definedName name="CF_Intangibles">#REF!</definedName>
    <definedName name="CF_Inventories" localSheetId="0">#REF!</definedName>
    <definedName name="CF_Inventories">#REF!</definedName>
    <definedName name="CF_Investments" localSheetId="0">#REF!</definedName>
    <definedName name="CF_Investments">#REF!</definedName>
    <definedName name="CF_LTDebt" localSheetId="0">#REF!</definedName>
    <definedName name="CF_LTDebt">#REF!</definedName>
    <definedName name="CF_NetIncome" localSheetId="0">#REF!</definedName>
    <definedName name="CF_NetIncome">#REF!</definedName>
    <definedName name="CF_Operations" localSheetId="0">#REF!</definedName>
    <definedName name="CF_Operations">#REF!</definedName>
    <definedName name="CF_Operations1" localSheetId="0">#REF!</definedName>
    <definedName name="CF_Operations1">#REF!</definedName>
    <definedName name="CF_Payables" localSheetId="0">#REF!</definedName>
    <definedName name="CF_Payables">#REF!</definedName>
    <definedName name="CF_PrepaidExpenses" localSheetId="0">#REF!</definedName>
    <definedName name="CF_PrepaidExpenses">#REF!</definedName>
    <definedName name="CF_Property" localSheetId="0">#REF!</definedName>
    <definedName name="CF_Property">#REF!</definedName>
    <definedName name="CF_Receivables" localSheetId="0">#REF!</definedName>
    <definedName name="CF_Receivables">#REF!</definedName>
    <definedName name="CF_Shares" localSheetId="0">#REF!</definedName>
    <definedName name="CF_Shares">#REF!</definedName>
    <definedName name="CF_Stmt" localSheetId="0">#REF!</definedName>
    <definedName name="CF_Stmt">#REF!</definedName>
    <definedName name="CF_Stmt1" localSheetId="0">#REF!</definedName>
    <definedName name="CF_Stmt1">#REF!</definedName>
    <definedName name="CF_Taxation" localSheetId="0">#REF!</definedName>
    <definedName name="CF_Taxation">#REF!</definedName>
    <definedName name="Chemicals" localSheetId="0">#REF!</definedName>
    <definedName name="Chemicals">#REF!</definedName>
    <definedName name="Chemicals1" localSheetId="0">#REF!</definedName>
    <definedName name="Chemicals1">#REF!</definedName>
    <definedName name="chf_month" localSheetId="0">#REF!</definedName>
    <definedName name="chf_month">#REF!</definedName>
    <definedName name="chf_year" localSheetId="0">#REF!</definedName>
    <definedName name="chf_year">#REF!</definedName>
    <definedName name="cig">[12]Anlagevermögen!$A$1:$Z$29</definedName>
    <definedName name="cis" localSheetId="0">#REF!</definedName>
    <definedName name="cis">#REF!</definedName>
    <definedName name="ClDate">[13]Info!$G$6</definedName>
    <definedName name="CompOt" localSheetId="0">[9]!CompOt</definedName>
    <definedName name="CompOt">[9]!CompOt</definedName>
    <definedName name="CompOt_11" localSheetId="0">'дек19 (факт)'!CompOt_11</definedName>
    <definedName name="CompOt_11">#N/A</definedName>
    <definedName name="CompOt_12" localSheetId="0">'дек19 (факт)'!CompOt_12</definedName>
    <definedName name="CompOt_12">#N/A</definedName>
    <definedName name="CompOt_13" localSheetId="0">'дек19 (факт)'!CompOt_13</definedName>
    <definedName name="CompOt_13">#N/A</definedName>
    <definedName name="CompOt_14" localSheetId="0">'дек19 (факт)'!CompOt_14</definedName>
    <definedName name="CompOt_14">#N/A</definedName>
    <definedName name="CompOt_16" localSheetId="0">'дек19 (факт)'!CompOt_16</definedName>
    <definedName name="CompOt_16">#N/A</definedName>
    <definedName name="CompOt_17" localSheetId="0">'дек19 (факт)'!CompOt_17</definedName>
    <definedName name="CompOt_17">#N/A</definedName>
    <definedName name="CompOt_18" localSheetId="0">'дек19 (факт)'!CompOt_18</definedName>
    <definedName name="CompOt_18">#N/A</definedName>
    <definedName name="CompOt_19" localSheetId="0">'дек19 (факт)'!CompOt_19</definedName>
    <definedName name="CompOt_19">#N/A</definedName>
    <definedName name="CompRas" localSheetId="0">[9]!CompRas</definedName>
    <definedName name="CompRas">[9]!CompRas</definedName>
    <definedName name="CompRas_11" localSheetId="0">'дек19 (факт)'!CompRas_11</definedName>
    <definedName name="CompRas_11">#N/A</definedName>
    <definedName name="CompRas_12" localSheetId="0">'дек19 (факт)'!CompRas_12</definedName>
    <definedName name="CompRas_12">#N/A</definedName>
    <definedName name="CompRas_13" localSheetId="0">'дек19 (факт)'!CompRas_13</definedName>
    <definedName name="CompRas_13">#N/A</definedName>
    <definedName name="CompRas_14" localSheetId="0">'дек19 (факт)'!CompRas_14</definedName>
    <definedName name="CompRas_14">#N/A</definedName>
    <definedName name="CompRas_16" localSheetId="0">'дек19 (факт)'!CompRas_16</definedName>
    <definedName name="CompRas_16">#N/A</definedName>
    <definedName name="CompRas_17" localSheetId="0">'дек19 (факт)'!CompRas_17</definedName>
    <definedName name="CompRas_17">#N/A</definedName>
    <definedName name="CompRas_18" localSheetId="0">'дек19 (факт)'!CompRas_18</definedName>
    <definedName name="CompRas_18">#N/A</definedName>
    <definedName name="CompRas_19" localSheetId="0">'дек19 (факт)'!CompRas_19</definedName>
    <definedName name="CompRas_19">#N/A</definedName>
    <definedName name="compras1" localSheetId="0">[9]!compras1</definedName>
    <definedName name="compras1">[9]!compras1</definedName>
    <definedName name="country">[14]misc!$B$1</definedName>
    <definedName name="crude" localSheetId="0">#REF!</definedName>
    <definedName name="crude">#REF!</definedName>
    <definedName name="csnab" localSheetId="0">#REF!</definedName>
    <definedName name="csnab">#REF!</definedName>
    <definedName name="ct" localSheetId="0">#REF!</definedName>
    <definedName name="ct">#REF!</definedName>
    <definedName name="currency">[14]misc!$B$2</definedName>
    <definedName name="cv" localSheetId="0">#REF!</definedName>
    <definedName name="cv">#REF!</definedName>
    <definedName name="cvo" localSheetId="0">#REF!</definedName>
    <definedName name="cvo">#REF!</definedName>
    <definedName name="CY_Accounts_Receivable" localSheetId="0">#REF!</definedName>
    <definedName name="CY_Accounts_Receivable">#REF!</definedName>
    <definedName name="CY_Cash" localSheetId="0">#REF!</definedName>
    <definedName name="CY_Cash">#REF!</definedName>
    <definedName name="CY_Common_Equity" localSheetId="0">#REF!</definedName>
    <definedName name="CY_Common_Equity">#REF!</definedName>
    <definedName name="CY_Cost_of_Sales" localSheetId="0">#REF!</definedName>
    <definedName name="CY_Cost_of_Sales">#REF!</definedName>
    <definedName name="CY_Current_Liabilities" localSheetId="0">#REF!</definedName>
    <definedName name="CY_Current_Liabilities">#REF!</definedName>
    <definedName name="CY_Depreciation" localSheetId="0">#REF!</definedName>
    <definedName name="CY_Depreciation">#REF!</definedName>
    <definedName name="CY_Gross_Profit" localSheetId="0">#REF!</definedName>
    <definedName name="CY_Gross_Profit">#REF!</definedName>
    <definedName name="CY_Inc_Bef_Tax" localSheetId="0">#REF!</definedName>
    <definedName name="CY_Inc_Bef_Tax">#REF!</definedName>
    <definedName name="CY_Intangible_Assets" localSheetId="0">#REF!</definedName>
    <definedName name="CY_Intangible_Assets">#REF!</definedName>
    <definedName name="CY_Interest_Expense" localSheetId="0">#REF!</definedName>
    <definedName name="CY_Interest_Expense">#REF!</definedName>
    <definedName name="CY_Inventory" localSheetId="0">#REF!</definedName>
    <definedName name="CY_Inventory">#REF!</definedName>
    <definedName name="CY_LIABIL_EQUITY" localSheetId="0">#REF!</definedName>
    <definedName name="CY_LIABIL_EQUITY">#REF!</definedName>
    <definedName name="CY_LT_Debt" localSheetId="0">#REF!</definedName>
    <definedName name="CY_LT_Debt">#REF!</definedName>
    <definedName name="CY_Market_Value_of_Equity" localSheetId="0">#REF!</definedName>
    <definedName name="CY_Market_Value_of_Equity">#REF!</definedName>
    <definedName name="CY_Marketable_Sec" localSheetId="0">#REF!</definedName>
    <definedName name="CY_Marketable_Sec">#REF!</definedName>
    <definedName name="CY_NET_PROFIT" localSheetId="0">#REF!</definedName>
    <definedName name="CY_NET_PROFIT">#REF!</definedName>
    <definedName name="CY_Net_Revenue" localSheetId="0">#REF!</definedName>
    <definedName name="CY_Net_Revenue">#REF!</definedName>
    <definedName name="CY_Operating_Income" localSheetId="0">#REF!</definedName>
    <definedName name="CY_Operating_Income">#REF!</definedName>
    <definedName name="CY_Other_Curr_Assets" localSheetId="0">#REF!</definedName>
    <definedName name="CY_Other_Curr_Assets">#REF!</definedName>
    <definedName name="CY_Other_LT_Assets" localSheetId="0">#REF!</definedName>
    <definedName name="CY_Other_LT_Assets">#REF!</definedName>
    <definedName name="CY_Other_LT_Liabilities" localSheetId="0">#REF!</definedName>
    <definedName name="CY_Other_LT_Liabilities">#REF!</definedName>
    <definedName name="CY_Preferred_Stock" localSheetId="0">#REF!</definedName>
    <definedName name="CY_Preferred_Stock">#REF!</definedName>
    <definedName name="CY_QUICK_ASSETS" localSheetId="0">#REF!</definedName>
    <definedName name="CY_QUICK_ASSETS">#REF!</definedName>
    <definedName name="CY_Retained_Earnings" localSheetId="0">#REF!</definedName>
    <definedName name="CY_Retained_Earnings">#REF!</definedName>
    <definedName name="CY_Tangible_Assets" localSheetId="0">#REF!</definedName>
    <definedName name="CY_Tangible_Assets">#REF!</definedName>
    <definedName name="CY_Tangible_Net_Worth" localSheetId="0">#REF!</definedName>
    <definedName name="CY_Tangible_Net_Worth">#REF!</definedName>
    <definedName name="CY_Taxes" localSheetId="0">#REF!</definedName>
    <definedName name="CY_Taxes">#REF!</definedName>
    <definedName name="CY_TOTAL_ASSETS" localSheetId="0">#REF!</definedName>
    <definedName name="CY_TOTAL_ASSETS">#REF!</definedName>
    <definedName name="CY_TOTAL_CURR_ASSETS" localSheetId="0">#REF!</definedName>
    <definedName name="CY_TOTAL_CURR_ASSETS">#REF!</definedName>
    <definedName name="CY_TOTAL_DEBT" localSheetId="0">#REF!</definedName>
    <definedName name="CY_TOTAL_DEBT">#REF!</definedName>
    <definedName name="CY_TOTAL_EQUITY" localSheetId="0">#REF!</definedName>
    <definedName name="CY_TOTAL_EQUITY">#REF!</definedName>
    <definedName name="CY_Working_Capital" localSheetId="0">#REF!</definedName>
    <definedName name="CY_Working_Capital">#REF!</definedName>
    <definedName name="cyp">'[15]FS-97'!$BA$90</definedName>
    <definedName name="czhs" localSheetId="0">#REF!</definedName>
    <definedName name="czhs">#REF!</definedName>
    <definedName name="Data" localSheetId="0">#REF!</definedName>
    <definedName name="Data">#REF!</definedName>
    <definedName name="ddd" localSheetId="0">[9]!ddd</definedName>
    <definedName name="ddd">[9]!ddd</definedName>
    <definedName name="dem_month" localSheetId="0">#REF!</definedName>
    <definedName name="dem_month">#REF!</definedName>
    <definedName name="dem_year" localSheetId="0">#REF!</definedName>
    <definedName name="dem_year">#REF!</definedName>
    <definedName name="det" localSheetId="0">[9]!det</definedName>
    <definedName name="det">[9]!det</definedName>
    <definedName name="dfg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df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Difference" localSheetId="0">#REF!</definedName>
    <definedName name="Difference">#REF!</definedName>
    <definedName name="Disaggregations" localSheetId="0">#REF!</definedName>
    <definedName name="Disaggregations">#REF!</definedName>
    <definedName name="Dollar_BS" localSheetId="0">#REF!</definedName>
    <definedName name="Dollar_BS">#REF!</definedName>
    <definedName name="Dollar_Cash" localSheetId="0">#REF!</definedName>
    <definedName name="Dollar_Cash">#REF!</definedName>
    <definedName name="Dollar_IS" localSheetId="0">#REF!</definedName>
    <definedName name="Dollar_IS">#REF!</definedName>
    <definedName name="Dollar_non_cash_wk" localSheetId="0">#REF!</definedName>
    <definedName name="Dollar_non_cash_wk">#REF!</definedName>
    <definedName name="Drilling" localSheetId="0">#REF!</definedName>
    <definedName name="Drilling">#REF!</definedName>
    <definedName name="Drilling1" localSheetId="0">#REF!</definedName>
    <definedName name="Drilling1">#REF!</definedName>
    <definedName name="End_Bal" localSheetId="0">#REF!</definedName>
    <definedName name="End_Bal">#REF!</definedName>
    <definedName name="Error">[16]Anlagevermögen!$A$1:$Z$29</definedName>
    <definedName name="ert" localSheetId="0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ert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euro_month" localSheetId="0">#REF!</definedName>
    <definedName name="euro_month">#REF!</definedName>
    <definedName name="euro_year" localSheetId="0">#REF!</definedName>
    <definedName name="euro_year">#REF!</definedName>
    <definedName name="ew" localSheetId="0">[9]!ew</definedName>
    <definedName name="ew">[9]!ew</definedName>
    <definedName name="ew_11" localSheetId="0">'дек19 (факт)'!ew_11</definedName>
    <definedName name="ew_11">#N/A</definedName>
    <definedName name="ew_12" localSheetId="0">'дек19 (факт)'!ew_12</definedName>
    <definedName name="ew_12">#N/A</definedName>
    <definedName name="ew_13" localSheetId="0">'дек19 (факт)'!ew_13</definedName>
    <definedName name="ew_13">#N/A</definedName>
    <definedName name="ew_14" localSheetId="0">'дек19 (факт)'!ew_14</definedName>
    <definedName name="ew_14">#N/A</definedName>
    <definedName name="ew_16" localSheetId="0">'дек19 (факт)'!ew_16</definedName>
    <definedName name="ew_16">#N/A</definedName>
    <definedName name="ew_17" localSheetId="0">'дек19 (факт)'!ew_17</definedName>
    <definedName name="ew_17">#N/A</definedName>
    <definedName name="ew_18" localSheetId="0">'дек19 (факт)'!ew_18</definedName>
    <definedName name="ew_18">#N/A</definedName>
    <definedName name="ew_19" localSheetId="0">'дек19 (факт)'!ew_19</definedName>
    <definedName name="ew_19">#N/A</definedName>
    <definedName name="Excel_BuiltIn_Print_Area_2" localSheetId="0">#REF!</definedName>
    <definedName name="Excel_BuiltIn_Print_Area_2">#REF!</definedName>
    <definedName name="Excel_BuiltIn_Print_Area_4" localSheetId="0">#REF!</definedName>
    <definedName name="Excel_BuiltIn_Print_Area_4">#REF!</definedName>
    <definedName name="Excel_BuiltIn_Print_Area_5" localSheetId="0">#REF!</definedName>
    <definedName name="Excel_BuiltIn_Print_Area_5">#REF!</definedName>
    <definedName name="Excel_BuiltIn_Print_Area_6" localSheetId="0">#REF!</definedName>
    <definedName name="Excel_BuiltIn_Print_Area_6">#REF!</definedName>
    <definedName name="Excel_BuiltIn_Print_Area_7" localSheetId="0">#REF!</definedName>
    <definedName name="Excel_BuiltIn_Print_Area_7">#REF!</definedName>
    <definedName name="Expected_balance" localSheetId="0">#REF!</definedName>
    <definedName name="Expected_balance">#REF!</definedName>
    <definedName name="extn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extn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Extra_Pay" localSheetId="0">#REF!</definedName>
    <definedName name="Extra_Pay">#REF!</definedName>
    <definedName name="F" localSheetId="0">[9]!F</definedName>
    <definedName name="F">[9]!F</definedName>
    <definedName name="fd" localSheetId="0">#REF!</definedName>
    <definedName name="fd">#REF!</definedName>
    <definedName name="fdjfd" localSheetId="0">#REF!</definedName>
    <definedName name="fdjfd">#REF!</definedName>
    <definedName name="fdjlsj" localSheetId="0">#REF!</definedName>
    <definedName name="fdjlsj">#REF!</definedName>
    <definedName name="Feb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eb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fg" localSheetId="0">[9]!fg</definedName>
    <definedName name="fg">[9]!fg</definedName>
    <definedName name="fg_11" localSheetId="0">'дек19 (факт)'!fg_11</definedName>
    <definedName name="fg_11">#N/A</definedName>
    <definedName name="fg_12" localSheetId="0">'дек19 (факт)'!fg_12</definedName>
    <definedName name="fg_12">#N/A</definedName>
    <definedName name="fg_13" localSheetId="0">'дек19 (факт)'!fg_13</definedName>
    <definedName name="fg_13">#N/A</definedName>
    <definedName name="fg_14" localSheetId="0">'дек19 (факт)'!fg_14</definedName>
    <definedName name="fg_14">#N/A</definedName>
    <definedName name="fg_16" localSheetId="0">'дек19 (факт)'!fg_16</definedName>
    <definedName name="fg_16">#N/A</definedName>
    <definedName name="fg_17" localSheetId="0">'дек19 (факт)'!fg_17</definedName>
    <definedName name="fg_17">#N/A</definedName>
    <definedName name="fg_18" localSheetId="0">'дек19 (факт)'!fg_18</definedName>
    <definedName name="fg_18">#N/A</definedName>
    <definedName name="fg_19" localSheetId="0">'дек19 (факт)'!fg_19</definedName>
    <definedName name="fg_19">#N/A</definedName>
    <definedName name="fjsf" localSheetId="0">#REF!</definedName>
    <definedName name="fjsf">#REF!</definedName>
    <definedName name="Full_Print" localSheetId="0">#REF!</definedName>
    <definedName name="Full_Print">#REF!</definedName>
    <definedName name="fytf" localSheetId="0">#REF!</definedName>
    <definedName name="fytf">#REF!</definedName>
    <definedName name="gaap_GRID" localSheetId="0">#REF!</definedName>
    <definedName name="gaap_GRID">#REF!</definedName>
    <definedName name="gbr_month" localSheetId="0">#REF!</definedName>
    <definedName name="gbr_month">#REF!</definedName>
    <definedName name="gbr_year" localSheetId="0">#REF!</definedName>
    <definedName name="gbr_year">#REF!</definedName>
    <definedName name="ghis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his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Grid_Assets" localSheetId="0">#REF!</definedName>
    <definedName name="Grid_Assets">#REF!</definedName>
    <definedName name="Grid_bs" localSheetId="0">#REF!</definedName>
    <definedName name="Grid_bs">#REF!</definedName>
    <definedName name="Grid_is" localSheetId="0">#REF!</definedName>
    <definedName name="Grid_is">#REF!</definedName>
    <definedName name="h" localSheetId="0" hidden="1">{#N/A,#N/A,FALSE,"МТВ"}</definedName>
    <definedName name="h" hidden="1">{#N/A,#N/A,FALSE,"МТВ"}</definedName>
    <definedName name="half" localSheetId="0">#REF!</definedName>
    <definedName name="half">#REF!</definedName>
    <definedName name="Header_Row" localSheetId="0">ROW(#REF!)</definedName>
    <definedName name="Header_Row">ROW(#REF!)</definedName>
    <definedName name="HELP" localSheetId="0">#REF!</definedName>
    <definedName name="HELP">#REF!</definedName>
    <definedName name="hfcxtn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cxtn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hfvf" localSheetId="0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hfvf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hgf" localSheetId="0">#REF!</definedName>
    <definedName name="hgf">#REF!</definedName>
    <definedName name="hjjh" localSheetId="0" hidden="1">{#N/A,#N/A,TRUE,"Лист1";#N/A,#N/A,TRUE,"Лист2";#N/A,#N/A,TRUE,"Лист3"}</definedName>
    <definedName name="hjjh" hidden="1">{#N/A,#N/A,TRUE,"Лист1";#N/A,#N/A,TRUE,"Лист2";#N/A,#N/A,TRUE,"Лист3"}</definedName>
    <definedName name="hozu" localSheetId="0">#REF!</definedName>
    <definedName name="hozu">#REF!</definedName>
    <definedName name="Inc_Stmt" localSheetId="0">#REF!</definedName>
    <definedName name="Inc_Stmt">#REF!</definedName>
    <definedName name="Inc_Stmt1" localSheetId="0">#REF!</definedName>
    <definedName name="Inc_Stmt1">#REF!</definedName>
    <definedName name="Int" localSheetId="0">#REF!</definedName>
    <definedName name="Int">#REF!</definedName>
    <definedName name="Interest_Rate" localSheetId="0">#REF!</definedName>
    <definedName name="Interest_Rate">#REF!</definedName>
    <definedName name="interm_level">'[11]Threshold Table'!$D$6:$F$11</definedName>
    <definedName name="Irina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Irina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jjjg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jjjjg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k" localSheetId="0">[9]!k</definedName>
    <definedName name="k">[9]!k</definedName>
    <definedName name="k_11" localSheetId="0">'дек19 (факт)'!k_11</definedName>
    <definedName name="k_11">#N/A</definedName>
    <definedName name="k_12" localSheetId="0">'дек19 (факт)'!k_12</definedName>
    <definedName name="k_12">#N/A</definedName>
    <definedName name="k_13" localSheetId="0">'дек19 (факт)'!k_13</definedName>
    <definedName name="k_13">#N/A</definedName>
    <definedName name="k_14" localSheetId="0">'дек19 (факт)'!k_14</definedName>
    <definedName name="k_14">#N/A</definedName>
    <definedName name="k_16" localSheetId="0">'дек19 (факт)'!k_16</definedName>
    <definedName name="k_16">#N/A</definedName>
    <definedName name="k_17" localSheetId="0">'дек19 (факт)'!k_17</definedName>
    <definedName name="k_17">#N/A</definedName>
    <definedName name="k_18" localSheetId="0">'дек19 (факт)'!k_18</definedName>
    <definedName name="k_18">#N/A</definedName>
    <definedName name="k_19" localSheetId="0">'дек19 (факт)'!k_19</definedName>
    <definedName name="k_19">#N/A</definedName>
    <definedName name="kto">[17]Форма2!$C$19:$C$24,[17]Форма2!$E$19:$F$24,[17]Форма2!$D$26:$F$31,[17]Форма2!$C$33:$C$38,[17]Форма2!$E$33:$F$38,[17]Форма2!$D$40:$F$43,[17]Форма2!$C$45:$C$48,[17]Форма2!$E$45:$F$48,[17]Форма2!$C$19</definedName>
    <definedName name="Kumkol" localSheetId="0" hidden="1">{#N/A,#N/A,FALSE,"Сентябрь";#N/A,#N/A,FALSE,"Пояснительная сентябре 99"}</definedName>
    <definedName name="Kumkol" hidden="1">{#N/A,#N/A,FALSE,"Сентябрь";#N/A,#N/A,FALSE,"Пояснительная сентябре 99"}</definedName>
    <definedName name="KZT_BS" localSheetId="0">#REF!</definedName>
    <definedName name="KZT_BS">#REF!</definedName>
    <definedName name="KZT_cash" localSheetId="0">#REF!</definedName>
    <definedName name="KZT_cash">#REF!</definedName>
    <definedName name="KZT_IS" localSheetId="0">#REF!</definedName>
    <definedName name="KZT_IS">#REF!</definedName>
    <definedName name="KZT_non_cash_wk" localSheetId="0">#REF!</definedName>
    <definedName name="KZT_non_cash_wk">#REF!</definedName>
    <definedName name="L_Adjust">[18]Links!$H$1:$H$65536</definedName>
    <definedName name="L_AJE_Tot">[18]Links!$G$1:$G$65536</definedName>
    <definedName name="L_CY_Beg">[18]Links!$F$1:$F$65536</definedName>
    <definedName name="L_CY_End">[18]Links!$J$1:$J$65536</definedName>
    <definedName name="L_PY_End">[18]Links!$K$1:$K$65536</definedName>
    <definedName name="L_RJE_Tot">[18]Links!$I$1:$I$65536</definedName>
    <definedName name="Last_Row" localSheetId="0">IF('дек19 (факт)'!Values_Entered,'дек19 (факт)'!Header_Row+'дек19 (факт)'!Number_of_Payments,'дек19 (факт)'!Header_Row)</definedName>
    <definedName name="Last_Row">#N/A</definedName>
    <definedName name="Loan_Amount" localSheetId="0">#REF!</definedName>
    <definedName name="Loan_Amount">#REF!</definedName>
    <definedName name="Loan_Start" localSheetId="0">#REF!</definedName>
    <definedName name="Loan_Start">#REF!</definedName>
    <definedName name="Loan_Years" localSheetId="0">#REF!</definedName>
    <definedName name="Loan_Years">#REF!</definedName>
    <definedName name="LP" localSheetId="0">#REF!</definedName>
    <definedName name="LP">#REF!</definedName>
    <definedName name="lvnc" localSheetId="0">#REF!</definedName>
    <definedName name="lvnc">#REF!</definedName>
    <definedName name="m">[12]Anlagevermögen!$A$1:$Z$29</definedName>
    <definedName name="m_2005">'[19]1NK'!$R$10:$R$1877</definedName>
    <definedName name="m_2006">'[19]1NK'!$S$10:$S$1838</definedName>
    <definedName name="m_2007">'[19]1NK'!$T$10:$T$1838</definedName>
    <definedName name="m_dep_I" localSheetId="0">#REF!</definedName>
    <definedName name="m_dep_I">#REF!</definedName>
    <definedName name="m_dep_I_13" localSheetId="0">#REF!</definedName>
    <definedName name="m_dep_I_13">#REF!</definedName>
    <definedName name="m_dep_I_16" localSheetId="0">#REF!</definedName>
    <definedName name="m_dep_I_16">#REF!</definedName>
    <definedName name="m_dep_I_17" localSheetId="0">#REF!</definedName>
    <definedName name="m_dep_I_17">#REF!</definedName>
    <definedName name="m_dep_I_18" localSheetId="0">#REF!</definedName>
    <definedName name="m_dep_I_18">#REF!</definedName>
    <definedName name="m_dep_I1" localSheetId="0">#REF!</definedName>
    <definedName name="m_dep_I1">#REF!</definedName>
    <definedName name="m_dep_I1_13" localSheetId="0">#REF!</definedName>
    <definedName name="m_dep_I1_13">#REF!</definedName>
    <definedName name="m_dep_I1_16" localSheetId="0">#REF!</definedName>
    <definedName name="m_dep_I1_16">#REF!</definedName>
    <definedName name="m_dep_I1_17" localSheetId="0">#REF!</definedName>
    <definedName name="m_dep_I1_17">#REF!</definedName>
    <definedName name="m_dep_I1_18" localSheetId="0">#REF!</definedName>
    <definedName name="m_dep_I1_18">#REF!</definedName>
    <definedName name="m_dep_N" localSheetId="0">#REF!</definedName>
    <definedName name="m_dep_N">#REF!</definedName>
    <definedName name="m_dep_N_13" localSheetId="0">#REF!</definedName>
    <definedName name="m_dep_N_13">#REF!</definedName>
    <definedName name="m_dep_N_16" localSheetId="0">#REF!</definedName>
    <definedName name="m_dep_N_16">#REF!</definedName>
    <definedName name="m_dep_N_17" localSheetId="0">#REF!</definedName>
    <definedName name="m_dep_N_17">#REF!</definedName>
    <definedName name="m_dep_N_18" localSheetId="0">#REF!</definedName>
    <definedName name="m_dep_N_18">#REF!</definedName>
    <definedName name="m_f2002" localSheetId="0">#REF!</definedName>
    <definedName name="m_f2002">#REF!</definedName>
    <definedName name="m_Key2" localSheetId="0">#REF!</definedName>
    <definedName name="m_Key2">#REF!</definedName>
    <definedName name="m_o2003" localSheetId="0">#REF!</definedName>
    <definedName name="m_o2003">#REF!</definedName>
    <definedName name="m_OTM2005">'[20]2.2 ОтклОТМ'!$G$1:$G$65536</definedName>
    <definedName name="m_OTM2006">'[20]2.2 ОтклОТМ'!$J$1:$J$65536</definedName>
    <definedName name="m_OTM2007">'[20]2.2 ОтклОТМ'!$M$1:$M$65536</definedName>
    <definedName name="m_OTM2008">'[20]2.2 ОтклОТМ'!$P$1:$P$65536</definedName>
    <definedName name="m_OTM2009">'[20]2.2 ОтклОТМ'!$S$1:$S$65536</definedName>
    <definedName name="m_OTM2010">'[20]2.2 ОтклОТМ'!$V$1:$V$65536</definedName>
    <definedName name="m_OTMizm">'[20]1.3.2 ОТМ'!$K$1:$K$65536</definedName>
    <definedName name="m_OTMkod">'[20]1.3.2 ОТМ'!$A$1:$A$65536</definedName>
    <definedName name="m_OTMnomer">'[20]1.3.2 ОТМ'!$H$1:$H$65536</definedName>
    <definedName name="m_OTMpokaz">'[20]1.3.2 ОТМ'!$I$1:$I$65536</definedName>
    <definedName name="m_p2003" localSheetId="0">#REF!</definedName>
    <definedName name="m_p2003">#REF!</definedName>
    <definedName name="m_Predpr_I">[20]Предпр!$C$3:$C$29</definedName>
    <definedName name="m_Predpr_I_13" localSheetId="0">#REF!</definedName>
    <definedName name="m_Predpr_I_13">#REF!</definedName>
    <definedName name="m_Predpr_I_16" localSheetId="0">#REF!</definedName>
    <definedName name="m_Predpr_I_16">#REF!</definedName>
    <definedName name="m_Predpr_I_18" localSheetId="0">#REF!</definedName>
    <definedName name="m_Predpr_I_18">#REF!</definedName>
    <definedName name="m_Predpr_N">[20]Предпр!$D$3:$D$29</definedName>
    <definedName name="m_Predpr_N_13" localSheetId="0">#REF!</definedName>
    <definedName name="m_Predpr_N_13">#REF!</definedName>
    <definedName name="m_Predpr_N_16" localSheetId="0">#REF!</definedName>
    <definedName name="m_Predpr_N_16">#REF!</definedName>
    <definedName name="m_Predpr_N_18" localSheetId="0">#REF!</definedName>
    <definedName name="m_Predpr_N_18">#REF!</definedName>
    <definedName name="m_Zatrat">[20]ЦентрЗатр!$A$2:$G$71</definedName>
    <definedName name="m_Zatrat_13">[21]ЦентрЗатр!$A$2:$G$71</definedName>
    <definedName name="m_Zatrat_16">[21]ЦентрЗатр!$A$2:$G$71</definedName>
    <definedName name="m_Zatrat_18">[21]ЦентрЗатр!$A$2:$G$71</definedName>
    <definedName name="m_Zatrat_Ed">[20]ЦентрЗатр!$E$2:$E$71</definedName>
    <definedName name="m_Zatrat_Ed_13">[22]ЦентрЗатр!$E$2:$E$71</definedName>
    <definedName name="m_Zatrat_Ed_16">[22]ЦентрЗатр!$E$2:$E$71</definedName>
    <definedName name="m_Zatrat_Ed_18">[22]ЦентрЗатр!$E$2:$E$71</definedName>
    <definedName name="m_Zatrat_K">[20]ЦентрЗатр!$F$2:$F$71</definedName>
    <definedName name="m_Zatrat_K_13">[22]ЦентрЗатр!$F$2:$F$71</definedName>
    <definedName name="m_Zatrat_K_16">[22]ЦентрЗатр!$F$2:$F$71</definedName>
    <definedName name="m_Zatrat_K_18">[22]ЦентрЗатр!$F$2:$F$71</definedName>
    <definedName name="m_Zatrat_N">[20]ЦентрЗатр!$G$2:$G$71</definedName>
    <definedName name="m_Zatrat_N_13">[21]ЦентрЗатр!$G$2:$G$71</definedName>
    <definedName name="m_Zatrat_N_16">[21]ЦентрЗатр!$G$2:$G$71</definedName>
    <definedName name="m_Zatrat_N_18">[21]ЦентрЗатр!$G$2:$G$71</definedName>
    <definedName name="main">'[23]Список документов'!$A$1</definedName>
    <definedName name="mas_1" localSheetId="0">#REF!</definedName>
    <definedName name="mas_1">#REF!</definedName>
    <definedName name="mas_1_13" localSheetId="0">#REF!</definedName>
    <definedName name="mas_1_13">#REF!</definedName>
    <definedName name="mas_1_16" localSheetId="0">#REF!</definedName>
    <definedName name="mas_1_16">#REF!</definedName>
    <definedName name="mas_1_17" localSheetId="0">#REF!</definedName>
    <definedName name="mas_1_17">#REF!</definedName>
    <definedName name="mas_1_18" localSheetId="0">#REF!</definedName>
    <definedName name="mas_1_18">#REF!</definedName>
    <definedName name="mas_2" localSheetId="0">#REF!</definedName>
    <definedName name="mas_2">#REF!</definedName>
    <definedName name="mas_2_13" localSheetId="0">#REF!</definedName>
    <definedName name="mas_2_13">#REF!</definedName>
    <definedName name="mas_2_16" localSheetId="0">#REF!</definedName>
    <definedName name="mas_2_16">#REF!</definedName>
    <definedName name="mas_2_17" localSheetId="0">#REF!</definedName>
    <definedName name="mas_2_17">#REF!</definedName>
    <definedName name="mas_2_18" localSheetId="0">#REF!</definedName>
    <definedName name="mas_2_18">#REF!</definedName>
    <definedName name="mas_2_new" localSheetId="0">#REF!</definedName>
    <definedName name="mas_2_new">#REF!</definedName>
    <definedName name="mas_2_new_13" localSheetId="0">#REF!</definedName>
    <definedName name="mas_2_new_13">#REF!</definedName>
    <definedName name="mas_2_new_16" localSheetId="0">#REF!</definedName>
    <definedName name="mas_2_new_16">#REF!</definedName>
    <definedName name="mas_2_new_17" localSheetId="0">#REF!</definedName>
    <definedName name="mas_2_new_17">#REF!</definedName>
    <definedName name="mas_2_new_18" localSheetId="0">#REF!</definedName>
    <definedName name="mas_2_new_18">#REF!</definedName>
    <definedName name="mas_3" localSheetId="0">#REF!</definedName>
    <definedName name="mas_3">#REF!</definedName>
    <definedName name="mas_3_13" localSheetId="0">#REF!</definedName>
    <definedName name="mas_3_13">#REF!</definedName>
    <definedName name="mas_3_16" localSheetId="0">#REF!</definedName>
    <definedName name="mas_3_16">#REF!</definedName>
    <definedName name="mas_3_17" localSheetId="0">#REF!</definedName>
    <definedName name="mas_3_17">#REF!</definedName>
    <definedName name="mas_3_18" localSheetId="0">#REF!</definedName>
    <definedName name="mas_3_18">#REF!</definedName>
    <definedName name="mas_4" localSheetId="0">#REF!</definedName>
    <definedName name="mas_4">#REF!</definedName>
    <definedName name="mas_4_13" localSheetId="0">#REF!</definedName>
    <definedName name="mas_4_13">#REF!</definedName>
    <definedName name="mas_4_16" localSheetId="0">#REF!</definedName>
    <definedName name="mas_4_16">#REF!</definedName>
    <definedName name="mas_4_17" localSheetId="0">#REF!</definedName>
    <definedName name="mas_4_17">#REF!</definedName>
    <definedName name="mas_4_18" localSheetId="0">#REF!</definedName>
    <definedName name="mas_4_18">#REF!</definedName>
    <definedName name="mas_new" localSheetId="0">#REF!</definedName>
    <definedName name="mas_new">#REF!</definedName>
    <definedName name="mas_new_13" localSheetId="0">#REF!</definedName>
    <definedName name="mas_new_13">#REF!</definedName>
    <definedName name="mas_new_16" localSheetId="0">#REF!</definedName>
    <definedName name="mas_new_16">#REF!</definedName>
    <definedName name="mas_new_17" localSheetId="0">#REF!</definedName>
    <definedName name="mas_new_17">#REF!</definedName>
    <definedName name="mas_new_18" localSheetId="0">#REF!</definedName>
    <definedName name="mas_new_18">#REF!</definedName>
    <definedName name="mas_old" localSheetId="0">#REF!</definedName>
    <definedName name="mas_old">#REF!</definedName>
    <definedName name="mas_spisok" localSheetId="0">#REF!</definedName>
    <definedName name="mas_spisok">#REF!</definedName>
    <definedName name="mas_spisok_13" localSheetId="0">#REF!</definedName>
    <definedName name="mas_spisok_13">#REF!</definedName>
    <definedName name="mas_spisok_16" localSheetId="0">#REF!</definedName>
    <definedName name="mas_spisok_16">#REF!</definedName>
    <definedName name="mas_spisok_18" localSheetId="0">#REF!</definedName>
    <definedName name="mas_spisok_18">#REF!</definedName>
    <definedName name="Monetary_Precision" localSheetId="0">#REF!</definedName>
    <definedName name="Monetary_Precision">#REF!</definedName>
    <definedName name="month" localSheetId="0">#REF!</definedName>
    <definedName name="month">#REF!</definedName>
    <definedName name="net" localSheetId="0">#REF!</definedName>
    <definedName name="net">#REF!</definedName>
    <definedName name="new">'[24]$ IS'!$A$1:$BH$34</definedName>
    <definedName name="New_a_c" localSheetId="0">#REF!</definedName>
    <definedName name="New_a_c">#REF!</definedName>
    <definedName name="Njkf" localSheetId="0">[9]!Njkf</definedName>
    <definedName name="Njkf">[9]!Njkf</definedName>
    <definedName name="Num_Pmt_Per_Year" localSheetId="0">#REF!</definedName>
    <definedName name="Num_Pmt_Per_Year">#REF!</definedName>
    <definedName name="Number_of_Payments" localSheetId="0">MATCH(0.01,'дек19 (факт)'!End_Bal,-1)+1</definedName>
    <definedName name="Number_of_Payments">MATCH(0.01,End_Bal,-1)+1</definedName>
    <definedName name="oi" localSheetId="0">#REF!</definedName>
    <definedName name="oi">#REF!</definedName>
    <definedName name="one" localSheetId="0">#REF!,#REF!</definedName>
    <definedName name="one">#REF!,#REF!</definedName>
    <definedName name="ooo" localSheetId="0">'[25]GAAP TB 30.09.01  detail p&amp;l'!#REF!</definedName>
    <definedName name="ooo">'[25]GAAP TB 30.09.01  detail p&amp;l'!#REF!</definedName>
    <definedName name="OpDate">[13]Info!$G$5</definedName>
    <definedName name="Pay_Date" localSheetId="0">#REF!</definedName>
    <definedName name="Pay_Date">#REF!</definedName>
    <definedName name="Pay_Num" localSheetId="0">#REF!</definedName>
    <definedName name="Pay_Num">#REF!</definedName>
    <definedName name="Payment_Date" localSheetId="0">DATE(YEAR('дек19 (факт)'!Loan_Start),MONTH('дек19 (факт)'!Loan_Start)+Payment_Number,DAY('дек19 (факт)'!Loan_Start))</definedName>
    <definedName name="Payment_Date">DATE(YEAR(Loan_Start),MONTH(Loan_Start)+Payment_Number,DAY(Loan_Start))</definedName>
    <definedName name="pc" localSheetId="0">#REF!</definedName>
    <definedName name="pc">#REF!</definedName>
    <definedName name="Pivot_division" localSheetId="0">#REF!</definedName>
    <definedName name="Pivot_division">#REF!</definedName>
    <definedName name="Pivot_HO" localSheetId="0">#REF!</definedName>
    <definedName name="Pivot_HO">#REF!</definedName>
    <definedName name="po" localSheetId="0">#REF!</definedName>
    <definedName name="po">#REF!</definedName>
    <definedName name="pr">[26]Anlagevermögen!$A$1:$Z$29</definedName>
    <definedName name="Princ" localSheetId="0">#REF!</definedName>
    <definedName name="Princ">#REF!</definedName>
    <definedName name="Print_Area_Reset" localSheetId="0">OFFSET('дек19 (факт)'!Full_Print,0,0,'дек19 (факт)'!Last_Row)</definedName>
    <definedName name="Print_Area_Reset">OFFSET(Full_Print,0,0,Last_Row)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intk" localSheetId="0">#REF!</definedName>
    <definedName name="printk">#REF!</definedName>
    <definedName name="Prob_ResRec" localSheetId="0">#REF!</definedName>
    <definedName name="Prob_ResRec">#REF!</definedName>
    <definedName name="Prob_ResRec1" localSheetId="0">#REF!</definedName>
    <definedName name="Prob_ResRec1">#REF!</definedName>
    <definedName name="Proved_ResRec" localSheetId="0">#REF!</definedName>
    <definedName name="Proved_ResRec">#REF!</definedName>
    <definedName name="Proved_ResRec1" localSheetId="0">#REF!</definedName>
    <definedName name="Proved_ResRec1">#REF!</definedName>
    <definedName name="PY_Accounts_Receivable" localSheetId="0">#REF!</definedName>
    <definedName name="PY_Accounts_Receivable">#REF!</definedName>
    <definedName name="PY_Cash" localSheetId="0">#REF!</definedName>
    <definedName name="PY_Cash">#REF!</definedName>
    <definedName name="PY_Common_Equity" localSheetId="0">#REF!</definedName>
    <definedName name="PY_Common_Equity">#REF!</definedName>
    <definedName name="PY_Cost_of_Sales" localSheetId="0">#REF!</definedName>
    <definedName name="PY_Cost_of_Sales">#REF!</definedName>
    <definedName name="PY_Current_Liabilities" localSheetId="0">#REF!</definedName>
    <definedName name="PY_Current_Liabilities">#REF!</definedName>
    <definedName name="PY_Depreciation" localSheetId="0">#REF!</definedName>
    <definedName name="PY_Depreciation">#REF!</definedName>
    <definedName name="PY_Gross_Profit" localSheetId="0">#REF!</definedName>
    <definedName name="PY_Gross_Profit">#REF!</definedName>
    <definedName name="PY_Inc_Bef_Tax" localSheetId="0">#REF!</definedName>
    <definedName name="PY_Inc_Bef_Tax">#REF!</definedName>
    <definedName name="PY_Intangible_Assets" localSheetId="0">#REF!</definedName>
    <definedName name="PY_Intangible_Assets">#REF!</definedName>
    <definedName name="PY_Interest_Expense" localSheetId="0">#REF!</definedName>
    <definedName name="PY_Interest_Expense">#REF!</definedName>
    <definedName name="PY_Inventory" localSheetId="0">#REF!</definedName>
    <definedName name="PY_Inventory">#REF!</definedName>
    <definedName name="PY_LIABIL_EQUITY" localSheetId="0">#REF!</definedName>
    <definedName name="PY_LIABIL_EQUITY">#REF!</definedName>
    <definedName name="PY_LT_Debt" localSheetId="0">#REF!</definedName>
    <definedName name="PY_LT_Debt">#REF!</definedName>
    <definedName name="PY_Market_Value_of_Equity" localSheetId="0">#REF!</definedName>
    <definedName name="PY_Market_Value_of_Equity">#REF!</definedName>
    <definedName name="PY_Marketable_Sec" localSheetId="0">#REF!</definedName>
    <definedName name="PY_Marketable_Sec">#REF!</definedName>
    <definedName name="PY_NET_PROFIT" localSheetId="0">#REF!</definedName>
    <definedName name="PY_NET_PROFIT">#REF!</definedName>
    <definedName name="PY_Net_Revenue" localSheetId="0">#REF!</definedName>
    <definedName name="PY_Net_Revenue">#REF!</definedName>
    <definedName name="PY_Operating_Inc" localSheetId="0">#REF!</definedName>
    <definedName name="PY_Operating_Inc">#REF!</definedName>
    <definedName name="PY_Operating_Income" localSheetId="0">#REF!</definedName>
    <definedName name="PY_Operating_Income">#REF!</definedName>
    <definedName name="PY_Other_Curr_Assets" localSheetId="0">#REF!</definedName>
    <definedName name="PY_Other_Curr_Assets">#REF!</definedName>
    <definedName name="PY_Other_LT_Assets" localSheetId="0">#REF!</definedName>
    <definedName name="PY_Other_LT_Assets">#REF!</definedName>
    <definedName name="PY_Other_LT_Liabilities" localSheetId="0">#REF!</definedName>
    <definedName name="PY_Other_LT_Liabilities">#REF!</definedName>
    <definedName name="PY_Preferred_Stock" localSheetId="0">#REF!</definedName>
    <definedName name="PY_Preferred_Stock">#REF!</definedName>
    <definedName name="PY_QUICK_ASSETS" localSheetId="0">#REF!</definedName>
    <definedName name="PY_QUICK_ASSETS">#REF!</definedName>
    <definedName name="PY_Retained_Earnings" localSheetId="0">#REF!</definedName>
    <definedName name="PY_Retained_Earnings">#REF!</definedName>
    <definedName name="PY_Tangible_Assets" localSheetId="0">#REF!</definedName>
    <definedName name="PY_Tangible_Assets">#REF!</definedName>
    <definedName name="PY_Tangible_Net_Worth" localSheetId="0">#REF!</definedName>
    <definedName name="PY_Tangible_Net_Worth">#REF!</definedName>
    <definedName name="PY_Taxes" localSheetId="0">#REF!</definedName>
    <definedName name="PY_Taxes">#REF!</definedName>
    <definedName name="PY_TOTAL_ASSETS" localSheetId="0">#REF!</definedName>
    <definedName name="PY_TOTAL_ASSETS">#REF!</definedName>
    <definedName name="PY_TOTAL_CURR_ASSETS" localSheetId="0">#REF!</definedName>
    <definedName name="PY_TOTAL_CURR_ASSETS">#REF!</definedName>
    <definedName name="PY_TOTAL_DEBT" localSheetId="0">#REF!</definedName>
    <definedName name="PY_TOTAL_DEBT">#REF!</definedName>
    <definedName name="PY_TOTAL_EQUITY" localSheetId="0">#REF!</definedName>
    <definedName name="PY_TOTAL_EQUITY">#REF!</definedName>
    <definedName name="PY_Working_Capital" localSheetId="0">#REF!</definedName>
    <definedName name="PY_Working_Capital">#REF!</definedName>
    <definedName name="PY2_Accounts_Receivable" localSheetId="0">#REF!</definedName>
    <definedName name="PY2_Accounts_Receivable">#REF!</definedName>
    <definedName name="PY2_Cash" localSheetId="0">#REF!</definedName>
    <definedName name="PY2_Cash">#REF!</definedName>
    <definedName name="PY2_Common_Equity" localSheetId="0">#REF!</definedName>
    <definedName name="PY2_Common_Equity">#REF!</definedName>
    <definedName name="PY2_Cost_of_Sales" localSheetId="0">#REF!</definedName>
    <definedName name="PY2_Cost_of_Sales">#REF!</definedName>
    <definedName name="PY2_Current_Liabilities" localSheetId="0">#REF!</definedName>
    <definedName name="PY2_Current_Liabilities">#REF!</definedName>
    <definedName name="PY2_Depreciation" localSheetId="0">#REF!</definedName>
    <definedName name="PY2_Depreciation">#REF!</definedName>
    <definedName name="PY2_Gross_Profit" localSheetId="0">#REF!</definedName>
    <definedName name="PY2_Gross_Profit">#REF!</definedName>
    <definedName name="PY2_Inc_Bef_Tax" localSheetId="0">#REF!</definedName>
    <definedName name="PY2_Inc_Bef_Tax">#REF!</definedName>
    <definedName name="PY2_Intangible_Assets" localSheetId="0">#REF!</definedName>
    <definedName name="PY2_Intangible_Assets">#REF!</definedName>
    <definedName name="PY2_Interest_Expense" localSheetId="0">#REF!</definedName>
    <definedName name="PY2_Interest_Expense">#REF!</definedName>
    <definedName name="PY2_Inventory" localSheetId="0">#REF!</definedName>
    <definedName name="PY2_Inventory">#REF!</definedName>
    <definedName name="PY2_LIABIL_EQUITY" localSheetId="0">#REF!</definedName>
    <definedName name="PY2_LIABIL_EQUITY">#REF!</definedName>
    <definedName name="PY2_LT_Debt" localSheetId="0">#REF!</definedName>
    <definedName name="PY2_LT_Debt">#REF!</definedName>
    <definedName name="PY2_Marketable_Sec" localSheetId="0">#REF!</definedName>
    <definedName name="PY2_Marketable_Sec">#REF!</definedName>
    <definedName name="PY2_NET_PROFIT" localSheetId="0">#REF!</definedName>
    <definedName name="PY2_NET_PROFIT">#REF!</definedName>
    <definedName name="PY2_Net_Revenue" localSheetId="0">#REF!</definedName>
    <definedName name="PY2_Net_Revenue">#REF!</definedName>
    <definedName name="PY2_Operating_Inc" localSheetId="0">#REF!</definedName>
    <definedName name="PY2_Operating_Inc">#REF!</definedName>
    <definedName name="PY2_Operating_Income" localSheetId="0">#REF!</definedName>
    <definedName name="PY2_Operating_Income">#REF!</definedName>
    <definedName name="PY2_Other_Curr_Assets" localSheetId="0">#REF!</definedName>
    <definedName name="PY2_Other_Curr_Assets">#REF!</definedName>
    <definedName name="PY2_Other_LT_Assets" localSheetId="0">#REF!</definedName>
    <definedName name="PY2_Other_LT_Assets">#REF!</definedName>
    <definedName name="PY2_Other_LT_Liabilities" localSheetId="0">#REF!</definedName>
    <definedName name="PY2_Other_LT_Liabilities">#REF!</definedName>
    <definedName name="PY2_Preferred_Stock" localSheetId="0">#REF!</definedName>
    <definedName name="PY2_Preferred_Stock">#REF!</definedName>
    <definedName name="PY2_QUICK_ASSETS" localSheetId="0">#REF!</definedName>
    <definedName name="PY2_QUICK_ASSETS">#REF!</definedName>
    <definedName name="PY2_Retained_Earnings" localSheetId="0">#REF!</definedName>
    <definedName name="PY2_Retained_Earnings">#REF!</definedName>
    <definedName name="PY2_Tangible_Assets" localSheetId="0">#REF!</definedName>
    <definedName name="PY2_Tangible_Assets">#REF!</definedName>
    <definedName name="PY2_Tangible_Net_Worth" localSheetId="0">#REF!</definedName>
    <definedName name="PY2_Tangible_Net_Worth">#REF!</definedName>
    <definedName name="PY2_Taxes" localSheetId="0">#REF!</definedName>
    <definedName name="PY2_Taxes">#REF!</definedName>
    <definedName name="PY2_TOTAL_ASSETS" localSheetId="0">#REF!</definedName>
    <definedName name="PY2_TOTAL_ASSETS">#REF!</definedName>
    <definedName name="PY2_TOTAL_CURR_ASSETS" localSheetId="0">#REF!</definedName>
    <definedName name="PY2_TOTAL_CURR_ASSETS">#REF!</definedName>
    <definedName name="PY2_TOTAL_DEBT" localSheetId="0">#REF!</definedName>
    <definedName name="PY2_TOTAL_DEBT">#REF!</definedName>
    <definedName name="PY2_TOTAL_EQUITY" localSheetId="0">#REF!</definedName>
    <definedName name="PY2_TOTAL_EQUITY">#REF!</definedName>
    <definedName name="PY2_Working_Capital" localSheetId="0">#REF!</definedName>
    <definedName name="PY2_Working_Capital">#REF!</definedName>
    <definedName name="pz" localSheetId="0">#REF!</definedName>
    <definedName name="pz">#REF!</definedName>
    <definedName name="Q1_901s_materials">'[27]Production_Ref Q-1-3'!$V$32:$V$82</definedName>
    <definedName name="Q1_902_903s">'[27]Production_Ref Q-1-3'!$V$83:$V$104</definedName>
    <definedName name="Q1_AJE_KLO" localSheetId="0">#REF!</definedName>
    <definedName name="Q1_AJE_KLO">#REF!</definedName>
    <definedName name="Q1_AJE41_payroll" localSheetId="0">#REF!</definedName>
    <definedName name="Q1_AJE41_payroll">#REF!</definedName>
    <definedName name="Q1_audit_expenses" localSheetId="0">#REF!</definedName>
    <definedName name="Q1_audit_expenses">#REF!</definedName>
    <definedName name="Q1_bank_services" localSheetId="0">#REF!</definedName>
    <definedName name="Q1_bank_services">#REF!</definedName>
    <definedName name="Q1_catering_services" localSheetId="0">#REF!</definedName>
    <definedName name="Q1_catering_services">#REF!</definedName>
    <definedName name="Q1_communication_expenses" localSheetId="0">#REF!</definedName>
    <definedName name="Q1_communication_expenses">#REF!</definedName>
    <definedName name="Q1_contract_interpreters" localSheetId="0">#REF!</definedName>
    <definedName name="Q1_contract_interpreters">#REF!</definedName>
    <definedName name="Q1_DD_AJEs" localSheetId="0">#REF!</definedName>
    <definedName name="Q1_DD_AJEs">#REF!</definedName>
    <definedName name="Q1_DD_provision_KZT" localSheetId="0">#REF!</definedName>
    <definedName name="Q1_DD_provision_KZT">#REF!</definedName>
    <definedName name="Q1_donations" localSheetId="0">#REF!</definedName>
    <definedName name="Q1_donations">#REF!</definedName>
    <definedName name="Q1_donations_Kaisar" localSheetId="0">#REF!</definedName>
    <definedName name="Q1_donations_Kaisar">#REF!</definedName>
    <definedName name="Q1_excise_tax">'[27]Production_Ref Q-1-3'!$V$28</definedName>
    <definedName name="Q1_expat_payroll" localSheetId="0">#REF!</definedName>
    <definedName name="Q1_expat_payroll">#REF!</definedName>
    <definedName name="Q1_expat_travel" localSheetId="0">#REF!</definedName>
    <definedName name="Q1_expat_travel">#REF!</definedName>
    <definedName name="Q1_Farm_expat_payroll" localSheetId="0">#REF!</definedName>
    <definedName name="Q1_Farm_expat_payroll">#REF!</definedName>
    <definedName name="Q1_farm_GA" localSheetId="0">#REF!</definedName>
    <definedName name="Q1_farm_GA">#REF!</definedName>
    <definedName name="Q1_Farm_other" localSheetId="0">#REF!,#REF!,#REF!,#REF!,#REF!,#REF!,#REF!,#REF!,#REF!,#REF!</definedName>
    <definedName name="Q1_Farm_other">#REF!,#REF!,#REF!,#REF!,#REF!,#REF!,#REF!,#REF!,#REF!,#REF!</definedName>
    <definedName name="Q1_Farm_payroll_nationals" localSheetId="0">#REF!,#REF!</definedName>
    <definedName name="Q1_Farm_payroll_nationals">#REF!,#REF!</definedName>
    <definedName name="Q1_insurance" localSheetId="0">#REF!</definedName>
    <definedName name="Q1_insurance">#REF!</definedName>
    <definedName name="Q1_KLO_KZT" localSheetId="0">#REF!</definedName>
    <definedName name="Q1_KLO_KZT">#REF!</definedName>
    <definedName name="Q1_KLO_Royalty_KZT">'[27]Production_Ref Q-1-3'!$S$17</definedName>
    <definedName name="Q1_legal_settlements" localSheetId="0">#REF!</definedName>
    <definedName name="Q1_legal_settlements">#REF!</definedName>
    <definedName name="Q1_medical_expenses" localSheetId="0">#REF!</definedName>
    <definedName name="Q1_medical_expenses">#REF!</definedName>
    <definedName name="Q1_mngnt_services" localSheetId="0">#REF!</definedName>
    <definedName name="Q1_mngnt_services">#REF!</definedName>
    <definedName name="Q1_national_payroll" localSheetId="0">#REF!,#REF!</definedName>
    <definedName name="Q1_national_payroll">#REF!,#REF!</definedName>
    <definedName name="Q1_overheads_KZT">'[27]Production_Ref Q-1-3'!$Q$17:$R$17,'[27]Production_Ref Q-1-3'!$T$19:$T$23,'[27]Production_Ref Q-1-3'!$T$26,'[27]Production_Ref Q-1-3'!$Q$30,'[27]Production_Ref Q-1-3'!$T$106:$T$258,'[27]Production_Ref Q-1-3'!$T$265:$T$268</definedName>
    <definedName name="Q1_pipeline_tariff">'[27]Production_Ref Q-1-3'!$V$24</definedName>
    <definedName name="Q1_property_tax" localSheetId="0">#REF!</definedName>
    <definedName name="Q1_property_tax">#REF!</definedName>
    <definedName name="Q1_railway_tariff">'[27]Production_Ref Q-1-3'!$V$25</definedName>
    <definedName name="Q1_security" localSheetId="0">#REF!</definedName>
    <definedName name="Q1_security">#REF!</definedName>
    <definedName name="Q1_tax_advice" localSheetId="0">#REF!</definedName>
    <definedName name="Q1_tax_advice">#REF!</definedName>
    <definedName name="Q1_trucking_services" localSheetId="0">#REF!</definedName>
    <definedName name="Q1_trucking_services">#REF!</definedName>
    <definedName name="Q1_TurgaiPetroleum">'[27]Production_Ref Q-1-3'!$S$30</definedName>
    <definedName name="Q2_901s_materials">'[27]Production_Ref Q-1-3'!$N$32:$N$82</definedName>
    <definedName name="Q2_902_903s">'[27]Production_Ref Q-1-3'!$N$83:$N$104</definedName>
    <definedName name="Q2_AJE50_901s">'[27]Production_Ref Q-1-3'!$N$273</definedName>
    <definedName name="Q2_AJE51_KLO_USD">'[27]Production_Ref Q-1-3'!$N$275</definedName>
    <definedName name="Q2_AJE62_pipeline_tariff">'[27]Production_Ref Q-1-3'!$N$277</definedName>
    <definedName name="Q2_AJE68_pipeline_tariff">'[27]Production_Ref Q-1-3'!$N$279</definedName>
    <definedName name="Q2_AJE77_pipeline_tariff">'[27]Production_Ref Q-1-3'!$N$283</definedName>
    <definedName name="Q2_audit_expenses" localSheetId="0">#REF!</definedName>
    <definedName name="Q2_audit_expenses">#REF!</definedName>
    <definedName name="Q2_baddebt_provision" localSheetId="0">#REF!</definedName>
    <definedName name="Q2_baddebt_provision">#REF!</definedName>
    <definedName name="Q2_bank_services" localSheetId="0">#REF!</definedName>
    <definedName name="Q2_bank_services">#REF!</definedName>
    <definedName name="Q2_catering_services" localSheetId="0">#REF!</definedName>
    <definedName name="Q2_catering_services">#REF!</definedName>
    <definedName name="Q2_communication_expenses" localSheetId="0">#REF!</definedName>
    <definedName name="Q2_communication_expenses">#REF!</definedName>
    <definedName name="Q2_contract_interpreters" localSheetId="0">#REF!</definedName>
    <definedName name="Q2_contract_interpreters">#REF!</definedName>
    <definedName name="Q2_donation_Kaisar" localSheetId="0">#REF!</definedName>
    <definedName name="Q2_donation_Kaisar">#REF!</definedName>
    <definedName name="Q2_donations" localSheetId="0">#REF!</definedName>
    <definedName name="Q2_donations">#REF!</definedName>
    <definedName name="Q2_excise_tax">'[27]Production_Ref Q-1-3'!$N$28</definedName>
    <definedName name="Q2_expat_payroll" localSheetId="0">#REF!</definedName>
    <definedName name="Q2_expat_payroll">#REF!</definedName>
    <definedName name="Q2_expat_travel" localSheetId="0">#REF!</definedName>
    <definedName name="Q2_expat_travel">#REF!</definedName>
    <definedName name="Q2_farm_GA" localSheetId="0">#REF!</definedName>
    <definedName name="Q2_farm_GA">#REF!</definedName>
    <definedName name="Q2_farm_other" localSheetId="0">#REF!,#REF!,#REF!,#REF!,#REF!,#REF!,#REF!,#REF!,#REF!,#REF!,#REF!,#REF!</definedName>
    <definedName name="Q2_farm_other">#REF!,#REF!,#REF!,#REF!,#REF!,#REF!,#REF!,#REF!,#REF!,#REF!,#REF!,#REF!</definedName>
    <definedName name="Q2_farm_payroll" localSheetId="0">#REF!,#REF!</definedName>
    <definedName name="Q2_farm_payroll">#REF!,#REF!</definedName>
    <definedName name="Q2_insurance" localSheetId="0">#REF!</definedName>
    <definedName name="Q2_insurance">#REF!</definedName>
    <definedName name="Q2_KLO" localSheetId="0">#REF!</definedName>
    <definedName name="Q2_KLO">#REF!</definedName>
    <definedName name="Q2_KTO_crude">'[27]Production_Ref Q-1-3'!$N$281</definedName>
    <definedName name="Q2_legal_settlements" localSheetId="0">#REF!</definedName>
    <definedName name="Q2_legal_settlements">#REF!</definedName>
    <definedName name="Q2_medical_expenses" localSheetId="0">#REF!</definedName>
    <definedName name="Q2_medical_expenses">#REF!</definedName>
    <definedName name="Q2_mngnt_services" localSheetId="0">#REF!</definedName>
    <definedName name="Q2_mngnt_services">#REF!</definedName>
    <definedName name="Q2_national_payroll" localSheetId="0">#REF!,#REF!</definedName>
    <definedName name="Q2_national_payroll">#REF!,#REF!</definedName>
    <definedName name="Q2_overheads">'[27]Production_Ref Q-1-3'!$N$7:$N$23,'[27]Production_Ref Q-1-3'!$N$26,'[27]Production_Ref Q-1-3'!$N$106:$N$258</definedName>
    <definedName name="Q2_pipeline_tariff">'[27]Production_Ref Q-1-3'!$N$24</definedName>
    <definedName name="Q2_property_tax" localSheetId="0">#REF!</definedName>
    <definedName name="Q2_property_tax">#REF!</definedName>
    <definedName name="Q2_railway_tariff">'[27]Production_Ref Q-1-3'!$N$25</definedName>
    <definedName name="Q2_security" localSheetId="0">#REF!</definedName>
    <definedName name="Q2_security">#REF!</definedName>
    <definedName name="Q2_tax_advice" localSheetId="0">#REF!</definedName>
    <definedName name="Q2_tax_advice">#REF!</definedName>
    <definedName name="Q2_trucking_services" localSheetId="0">#REF!</definedName>
    <definedName name="Q2_trucking_services">#REF!</definedName>
    <definedName name="Q2_TurgaiPetroleum_KZT">'[27]Production_Ref Q-1-3'!$K$31</definedName>
    <definedName name="Q3_901s_materials">'[27]Production_Ref Q-1-3'!$G$32:$G$82</definedName>
    <definedName name="Q3_902_903s">'[27]Production_Ref Q-1-3'!$G$83:$G$104</definedName>
    <definedName name="Q3_AJE10_KLO">'[27]Production_Ref Q-1-3'!$G$287</definedName>
    <definedName name="Q3_AJE11_pipeline_tariff">'[27]Production_Ref Q-1-3'!$G$289</definedName>
    <definedName name="Q3_AJEs_other" localSheetId="0">#REF!</definedName>
    <definedName name="Q3_AJEs_other">#REF!</definedName>
    <definedName name="Q3_audit_expenses" localSheetId="0">#REF!</definedName>
    <definedName name="Q3_audit_expenses">#REF!</definedName>
    <definedName name="Q3_baddebts_provisions" localSheetId="0">#REF!</definedName>
    <definedName name="Q3_baddebts_provisions">#REF!</definedName>
    <definedName name="Q3_bank_services" localSheetId="0">#REF!</definedName>
    <definedName name="Q3_bank_services">#REF!</definedName>
    <definedName name="Q3_catering_services" localSheetId="0">#REF!</definedName>
    <definedName name="Q3_catering_services">#REF!</definedName>
    <definedName name="Q3_communication_expenses" localSheetId="0">#REF!</definedName>
    <definedName name="Q3_communication_expenses">#REF!</definedName>
    <definedName name="Q3_contract_interpreters" localSheetId="0">#REF!</definedName>
    <definedName name="Q3_contract_interpreters">#REF!</definedName>
    <definedName name="Q3_donation_Kaisar" localSheetId="0">#REF!</definedName>
    <definedName name="Q3_donation_Kaisar">#REF!</definedName>
    <definedName name="Q3_donations" localSheetId="0">#REF!</definedName>
    <definedName name="Q3_donations">#REF!</definedName>
    <definedName name="Q3_excise_tax">'[27]Production_Ref Q-1-3'!$G$28</definedName>
    <definedName name="Q3_expat_payroll" localSheetId="0">#REF!</definedName>
    <definedName name="Q3_expat_payroll">#REF!</definedName>
    <definedName name="Q3_expat_travel" localSheetId="0">#REF!</definedName>
    <definedName name="Q3_expat_travel">#REF!</definedName>
    <definedName name="Q3_insurance" localSheetId="0">#REF!</definedName>
    <definedName name="Q3_insurance">#REF!</definedName>
    <definedName name="Q3_KLO" localSheetId="0">#REF!</definedName>
    <definedName name="Q3_KLO">#REF!</definedName>
    <definedName name="Q3_legal_settlements" localSheetId="0">#REF!</definedName>
    <definedName name="Q3_legal_settlements">#REF!</definedName>
    <definedName name="Q3_medical_expenses" localSheetId="0">#REF!</definedName>
    <definedName name="Q3_medical_expenses">#REF!</definedName>
    <definedName name="Q3_mngt_services" localSheetId="0">#REF!</definedName>
    <definedName name="Q3_mngt_services">#REF!</definedName>
    <definedName name="Q3_national_payroll" localSheetId="0">#REF!,#REF!</definedName>
    <definedName name="Q3_national_payroll">#REF!,#REF!</definedName>
    <definedName name="Q3_other" localSheetId="0">#REF!,#REF!,#REF!,#REF!,#REF!,#REF!,#REF!,#REF!,#REF!,#REF!,#REF!,#REF!,#REF!,#REF!,#REF!,#REF!</definedName>
    <definedName name="Q3_other">#REF!,#REF!,#REF!,#REF!,#REF!,#REF!,#REF!,#REF!,#REF!,#REF!,#REF!,#REF!,#REF!,#REF!,#REF!,#REF!</definedName>
    <definedName name="Q3_overheads">'[27]Production_Ref Q-1-3'!$G$17:$G$23,'[27]Production_Ref Q-1-3'!$G$26,'[27]Production_Ref Q-1-3'!$G$106:$G$143,'[27]Production_Ref Q-1-3'!$G$144:$G$180,'[27]Production_Ref Q-1-3'!$G$181:$G$217,'[27]Production_Ref Q-1-3'!$G$218:$G$258,'[27]Production_Ref Q-1-3'!$G$285</definedName>
    <definedName name="Q3_pipeline_tariff">'[27]Production_Ref Q-1-3'!$G$24</definedName>
    <definedName name="Q3_property_tax" localSheetId="0">#REF!</definedName>
    <definedName name="Q3_property_tax">#REF!</definedName>
    <definedName name="Q3_railway_tariff">'[27]Production_Ref Q-1-3'!$G$25</definedName>
    <definedName name="Q3_security" localSheetId="0">#REF!</definedName>
    <definedName name="Q3_security">#REF!</definedName>
    <definedName name="Q3_tax_advice" localSheetId="0">#REF!</definedName>
    <definedName name="Q3_tax_advice">#REF!</definedName>
    <definedName name="Q3_trucking_services" localSheetId="0">#REF!</definedName>
    <definedName name="Q3_trucking_services">#REF!</definedName>
    <definedName name="Q3_TurgaiPetroleum">'[27]Production_Ref Q-1-3'!$G$31</definedName>
    <definedName name="Q3_VAT_nondeductible" localSheetId="0">#REF!</definedName>
    <definedName name="Q3_VAT_nondeductible">#REF!</definedName>
    <definedName name="Q4_labour" localSheetId="0">SUM(#REF!)</definedName>
    <definedName name="Q4_labour">SUM(#REF!)</definedName>
    <definedName name="Q4_Materials" localSheetId="0">SUM(#REF!)</definedName>
    <definedName name="Q4_Materials">SUM(#REF!)</definedName>
    <definedName name="Q4_Overheads" localSheetId="0">SUM(#REF!,#REF!,#REF!)</definedName>
    <definedName name="Q4_Overheads">SUM(#REF!,#REF!,#REF!)</definedName>
    <definedName name="qqq" localSheetId="0">'[25]GAAP TB 30.09.01  detail p&amp;l'!#REF!</definedName>
    <definedName name="qqq">'[25]GAAP TB 30.09.01  detail p&amp;l'!#REF!</definedName>
    <definedName name="qsda" hidden="1">4</definedName>
    <definedName name="qwe">[28]Форма2!$C$19:$C$24,[28]Форма2!$E$19:$F$24,[28]Форма2!$D$26:$F$31,[28]Форма2!$C$33:$C$38,[28]Форма2!$E$33:$F$38,[28]Форма2!$D$40:$F$43,[28]Форма2!$C$45:$C$48,[28]Форма2!$E$45:$F$48,[28]Форма2!$C$19</definedName>
    <definedName name="qwe_13">[29]Форма2!$C$19:$C$24,[29]Форма2!$E$19:$F$24,[29]Форма2!$D$26:$F$31,[29]Форма2!$C$33:$C$38,[29]Форма2!$E$33:$F$38,[29]Форма2!$D$40:$F$43,[29]Форма2!$C$45:$C$48,[29]Форма2!$E$45:$F$48,[29]Форма2!$C$19</definedName>
    <definedName name="qwe_16">[29]Форма2!$C$19:$C$24,[29]Форма2!$E$19:$F$24,[29]Форма2!$D$26:$F$31,[29]Форма2!$C$33:$C$38,[29]Форма2!$E$33:$F$38,[29]Форма2!$D$40:$F$43,[29]Форма2!$C$45:$C$48,[29]Форма2!$E$45:$F$48,[29]Форма2!$C$19</definedName>
    <definedName name="qwe_18">[29]Форма2!$C$19:$C$24,[29]Форма2!$E$19:$F$24,[29]Форма2!$D$26:$F$31,[29]Форма2!$C$33:$C$38,[29]Форма2!$E$33:$F$38,[29]Форма2!$D$40:$F$43,[29]Форма2!$C$45:$C$48,[29]Форма2!$E$45:$F$48,[29]Форма2!$C$19</definedName>
    <definedName name="R_Factor" localSheetId="0">#REF!</definedName>
    <definedName name="R_Factor">#REF!</definedName>
    <definedName name="rate7" localSheetId="0">#REF!</definedName>
    <definedName name="rate7">#REF!</definedName>
    <definedName name="Ref_1">'[30]FA Movement Kyrg'!$E$22</definedName>
    <definedName name="Ref_10">'[30]FA Movement Kyrg'!$I$39</definedName>
    <definedName name="Ref_11">'[30]FA Movement Kyrg'!$K$39</definedName>
    <definedName name="Ref_12">'[30]FA Movement Kyrg'!$K$17</definedName>
    <definedName name="Ref_13">'[30]FA Movement Kyrg'!$C$17</definedName>
    <definedName name="Ref_14">'[30]FA Movement Kyrg'!$E$17</definedName>
    <definedName name="Ref_2">'[30]FA Movement Kyrg'!$A$1</definedName>
    <definedName name="Ref_3" localSheetId="0">#REF!</definedName>
    <definedName name="Ref_3">#REF!</definedName>
    <definedName name="Ref_4">'[30]FA Movement Kyrg'!$A$19</definedName>
    <definedName name="Ref_5">'[30]FA Movement Kyrg'!$C$17</definedName>
    <definedName name="Ref_6">'[30]FA Movement Kyrg'!$K$17</definedName>
    <definedName name="Ref_7">'[30]FA Movement Kyrg'!$C$28</definedName>
    <definedName name="Ref_8">'[30]FA Movement Kyrg'!$C$28</definedName>
    <definedName name="Ref_9">'[30]FA Movement Kyrg'!$K$28</definedName>
    <definedName name="refined" localSheetId="0">#REF!</definedName>
    <definedName name="refined">#REF!</definedName>
    <definedName name="Reserve_Stats" localSheetId="0">#REF!</definedName>
    <definedName name="Reserve_Stats">#REF!</definedName>
    <definedName name="Reserve_Stats1" localSheetId="0">#REF!</definedName>
    <definedName name="Reserve_Stats1">#REF!</definedName>
    <definedName name="Reserves" localSheetId="0">#REF!</definedName>
    <definedName name="Reserves">#REF!</definedName>
    <definedName name="Reserves1" localSheetId="0">#REF!</definedName>
    <definedName name="Reserves1">#REF!</definedName>
    <definedName name="Residual_difference" localSheetId="0">#REF!</definedName>
    <definedName name="Residual_difference">#REF!</definedName>
    <definedName name="respirators" localSheetId="0">#REF!</definedName>
    <definedName name="respirators">#REF!</definedName>
    <definedName name="rjhjdf" localSheetId="0" hidden="1">{#N/A,#N/A,FALSE,"МТВ"}</definedName>
    <definedName name="rjhjdf" hidden="1">{#N/A,#N/A,FALSE,"МТВ"}</definedName>
    <definedName name="rng" localSheetId="0">#REF!</definedName>
    <definedName name="rng">#REF!</definedName>
    <definedName name="rngChartRange" localSheetId="0">#REF!</definedName>
    <definedName name="rngChartRange">#REF!</definedName>
    <definedName name="rngChartRange_13" localSheetId="0">#REF!</definedName>
    <definedName name="rngChartRange_13">#REF!</definedName>
    <definedName name="rngChartRange_16" localSheetId="0">#REF!</definedName>
    <definedName name="rngChartRange_16">#REF!</definedName>
    <definedName name="rngChartRange_18" localSheetId="0">#REF!</definedName>
    <definedName name="rngChartRange_18">#REF!</definedName>
    <definedName name="rngDataAll" localSheetId="0">#REF!</definedName>
    <definedName name="rngDataAll">#REF!</definedName>
    <definedName name="rngDataAll_13" localSheetId="0">#REF!</definedName>
    <definedName name="rngDataAll_13">#REF!</definedName>
    <definedName name="rngDataAll_16" localSheetId="0">#REF!</definedName>
    <definedName name="rngDataAll_16">#REF!</definedName>
    <definedName name="rngDataAll_18" localSheetId="0">#REF!</definedName>
    <definedName name="rngDataAll_18">#REF!</definedName>
    <definedName name="rngEnd" localSheetId="0">#REF!</definedName>
    <definedName name="rngEnd">#REF!</definedName>
    <definedName name="rngEnd_13" localSheetId="0">#REF!</definedName>
    <definedName name="rngEnd_13">#REF!</definedName>
    <definedName name="rngEnd_16" localSheetId="0">#REF!</definedName>
    <definedName name="rngEnd_16">#REF!</definedName>
    <definedName name="rngEnd_18" localSheetId="0">#REF!</definedName>
    <definedName name="rngEnd_18">#REF!</definedName>
    <definedName name="rngIATACode" localSheetId="0">#REF!</definedName>
    <definedName name="rngIATACode">#REF!</definedName>
    <definedName name="rngIATACode_13" localSheetId="0">#REF!</definedName>
    <definedName name="rngIATACode_13">#REF!</definedName>
    <definedName name="rngIATACode_16" localSheetId="0">#REF!</definedName>
    <definedName name="rngIATACode_16">#REF!</definedName>
    <definedName name="rngIATACode_18" localSheetId="0">#REF!</definedName>
    <definedName name="rngIATACode_18">#REF!</definedName>
    <definedName name="rngResStart" localSheetId="0">#REF!</definedName>
    <definedName name="rngResStart">#REF!</definedName>
    <definedName name="rngResStart_13" localSheetId="0">#REF!</definedName>
    <definedName name="rngResStart_13">#REF!</definedName>
    <definedName name="rngResStart_16" localSheetId="0">#REF!</definedName>
    <definedName name="rngResStart_16">#REF!</definedName>
    <definedName name="rngResStart_18" localSheetId="0">#REF!</definedName>
    <definedName name="rngResStart_18">#REF!</definedName>
    <definedName name="rngStart" localSheetId="0">#REF!</definedName>
    <definedName name="rngStart">#REF!</definedName>
    <definedName name="rngStart_13" localSheetId="0">#REF!</definedName>
    <definedName name="rngStart_13">#REF!</definedName>
    <definedName name="rngStart_16" localSheetId="0">#REF!</definedName>
    <definedName name="rngStart_16">#REF!</definedName>
    <definedName name="rngStart_18" localSheetId="0">#REF!</definedName>
    <definedName name="rngStart_18">#REF!</definedName>
    <definedName name="rngUpdate" localSheetId="0">#REF!</definedName>
    <definedName name="rngUpdate">#REF!</definedName>
    <definedName name="rngUpdate_13" localSheetId="0">#REF!</definedName>
    <definedName name="rngUpdate_13">#REF!</definedName>
    <definedName name="rngUpdate_16" localSheetId="0">#REF!</definedName>
    <definedName name="rngUpdate_16">#REF!</definedName>
    <definedName name="rngUpdate_18" localSheetId="0">#REF!</definedName>
    <definedName name="rngUpdate_18">#REF!</definedName>
    <definedName name="rost" localSheetId="0">#REF!</definedName>
    <definedName name="rost">#REF!</definedName>
    <definedName name="rty" localSheetId="0" hidden="1">{#N/A,#N/A,FALSE,"МТВ"}</definedName>
    <definedName name="rty" hidden="1">{#N/A,#N/A,FALSE,"МТВ"}</definedName>
    <definedName name="rur_month" localSheetId="0">#REF!</definedName>
    <definedName name="rur_month">#REF!</definedName>
    <definedName name="rur_year" localSheetId="0">#REF!</definedName>
    <definedName name="rur_year">#REF!</definedName>
    <definedName name="rus" localSheetId="0">#REF!</definedName>
    <definedName name="rus">#REF!</definedName>
    <definedName name="S_AcctDes" localSheetId="0">#REF!</definedName>
    <definedName name="S_AcctDes">#REF!</definedName>
    <definedName name="S_Adjust" localSheetId="0">#REF!</definedName>
    <definedName name="S_Adjust">#REF!</definedName>
    <definedName name="S_Adjust_Data" localSheetId="0">#REF!</definedName>
    <definedName name="S_Adjust_Data">#REF!</definedName>
    <definedName name="S_Adjust_GT" localSheetId="0">#REF!</definedName>
    <definedName name="S_Adjust_GT">#REF!</definedName>
    <definedName name="S_AJE_Tot" localSheetId="0">#REF!</definedName>
    <definedName name="S_AJE_Tot">#REF!</definedName>
    <definedName name="S_AJE_Tot_Data" localSheetId="0">#REF!</definedName>
    <definedName name="S_AJE_Tot_Data">#REF!</definedName>
    <definedName name="S_AJE_Tot_GT" localSheetId="0">#REF!</definedName>
    <definedName name="S_AJE_Tot_GT">#REF!</definedName>
    <definedName name="S_CompNum" localSheetId="0">#REF!</definedName>
    <definedName name="S_CompNum">#REF!</definedName>
    <definedName name="S_CY_Beg" localSheetId="0">#REF!</definedName>
    <definedName name="S_CY_Beg">#REF!</definedName>
    <definedName name="S_CY_Beg_Data" localSheetId="0">#REF!</definedName>
    <definedName name="S_CY_Beg_Data">#REF!</definedName>
    <definedName name="S_CY_Beg_GT" localSheetId="0">#REF!</definedName>
    <definedName name="S_CY_Beg_GT">#REF!</definedName>
    <definedName name="S_CY_End" localSheetId="0">#REF!</definedName>
    <definedName name="S_CY_End">#REF!</definedName>
    <definedName name="S_CY_End_Data" localSheetId="0">#REF!</definedName>
    <definedName name="S_CY_End_Data">#REF!</definedName>
    <definedName name="S_CY_End_GT" localSheetId="0">#REF!</definedName>
    <definedName name="S_CY_End_GT">#REF!</definedName>
    <definedName name="S_Diff_Amt" localSheetId="0">#REF!</definedName>
    <definedName name="S_Diff_Amt">#REF!</definedName>
    <definedName name="S_Diff_Pct" localSheetId="0">#REF!</definedName>
    <definedName name="S_Diff_Pct">#REF!</definedName>
    <definedName name="S_GrpNum" localSheetId="0">#REF!</definedName>
    <definedName name="S_GrpNum">#REF!</definedName>
    <definedName name="S_Headings" localSheetId="0">#REF!</definedName>
    <definedName name="S_Headings">#REF!</definedName>
    <definedName name="S_KeyValue" localSheetId="0">#REF!</definedName>
    <definedName name="S_KeyValue">#REF!</definedName>
    <definedName name="S_PY_End" localSheetId="0">#REF!</definedName>
    <definedName name="S_PY_End">#REF!</definedName>
    <definedName name="S_PY_End_Data" localSheetId="0">#REF!</definedName>
    <definedName name="S_PY_End_Data">#REF!</definedName>
    <definedName name="S_PY_End_GT" localSheetId="0">#REF!</definedName>
    <definedName name="S_PY_End_GT">#REF!</definedName>
    <definedName name="S_RJE_Tot" localSheetId="0">#REF!</definedName>
    <definedName name="S_RJE_Tot">#REF!</definedName>
    <definedName name="S_RJE_Tot_Data" localSheetId="0">#REF!</definedName>
    <definedName name="S_RJE_Tot_Data">#REF!</definedName>
    <definedName name="S_RJE_Tot_GT" localSheetId="0">#REF!</definedName>
    <definedName name="S_RJE_Tot_GT">#REF!</definedName>
    <definedName name="S_RowNum" localSheetId="0">#REF!</definedName>
    <definedName name="S_RowNum">#REF!</definedName>
    <definedName name="S1_" localSheetId="0">#REF!</definedName>
    <definedName name="S1_">#REF!</definedName>
    <definedName name="S1__13" localSheetId="0">#REF!</definedName>
    <definedName name="S1__13">#REF!</definedName>
    <definedName name="S1__16" localSheetId="0">#REF!</definedName>
    <definedName name="S1__16">#REF!</definedName>
    <definedName name="S1__18" localSheetId="0">#REF!</definedName>
    <definedName name="S1__18">#REF!</definedName>
    <definedName name="s1_0" localSheetId="0">#REF!</definedName>
    <definedName name="s1_0">#REF!</definedName>
    <definedName name="s1_0_13" localSheetId="0">#REF!</definedName>
    <definedName name="s1_0_13">#REF!</definedName>
    <definedName name="s1_0_16" localSheetId="0">#REF!</definedName>
    <definedName name="s1_0_16">#REF!</definedName>
    <definedName name="s1_0_17" localSheetId="0">#REF!</definedName>
    <definedName name="s1_0_17">#REF!</definedName>
    <definedName name="s1_0_18" localSheetId="0">#REF!</definedName>
    <definedName name="s1_0_18">#REF!</definedName>
    <definedName name="s1_1" localSheetId="0">#REF!</definedName>
    <definedName name="s1_1">#REF!</definedName>
    <definedName name="s1_1_13" localSheetId="0">#REF!</definedName>
    <definedName name="s1_1_13">#REF!</definedName>
    <definedName name="s1_1_16" localSheetId="0">#REF!</definedName>
    <definedName name="s1_1_16">#REF!</definedName>
    <definedName name="s1_1_17" localSheetId="0">#REF!</definedName>
    <definedName name="s1_1_17">#REF!</definedName>
    <definedName name="s1_1_18" localSheetId="0">#REF!</definedName>
    <definedName name="s1_1_18">#REF!</definedName>
    <definedName name="S10_" localSheetId="0">#REF!</definedName>
    <definedName name="S10_">#REF!</definedName>
    <definedName name="S10__13" localSheetId="0">#REF!</definedName>
    <definedName name="S10__13">#REF!</definedName>
    <definedName name="S10__16" localSheetId="0">#REF!</definedName>
    <definedName name="S10__16">#REF!</definedName>
    <definedName name="S10__18" localSheetId="0">#REF!</definedName>
    <definedName name="S10__18">#REF!</definedName>
    <definedName name="S11_" localSheetId="0">#REF!</definedName>
    <definedName name="S11_">#REF!</definedName>
    <definedName name="S11__13" localSheetId="0">#REF!</definedName>
    <definedName name="S11__13">#REF!</definedName>
    <definedName name="S11__16" localSheetId="0">#REF!</definedName>
    <definedName name="S11__16">#REF!</definedName>
    <definedName name="S11__18" localSheetId="0">#REF!</definedName>
    <definedName name="S11__18">#REF!</definedName>
    <definedName name="S12_" localSheetId="0">#REF!</definedName>
    <definedName name="S12_">#REF!</definedName>
    <definedName name="S12__13" localSheetId="0">#REF!</definedName>
    <definedName name="S12__13">#REF!</definedName>
    <definedName name="S12__16" localSheetId="0">#REF!</definedName>
    <definedName name="S12__16">#REF!</definedName>
    <definedName name="S12__18" localSheetId="0">#REF!</definedName>
    <definedName name="S12__18">#REF!</definedName>
    <definedName name="S13_" localSheetId="0">#REF!</definedName>
    <definedName name="S13_">#REF!</definedName>
    <definedName name="S13__13" localSheetId="0">#REF!</definedName>
    <definedName name="S13__13">#REF!</definedName>
    <definedName name="S13__16" localSheetId="0">#REF!</definedName>
    <definedName name="S13__16">#REF!</definedName>
    <definedName name="S13__18" localSheetId="0">#REF!</definedName>
    <definedName name="S13__18">#REF!</definedName>
    <definedName name="S14_" localSheetId="0">#REF!</definedName>
    <definedName name="S14_">#REF!</definedName>
    <definedName name="S14__13" localSheetId="0">#REF!</definedName>
    <definedName name="S14__13">#REF!</definedName>
    <definedName name="S14__16" localSheetId="0">#REF!</definedName>
    <definedName name="S14__16">#REF!</definedName>
    <definedName name="S14__18" localSheetId="0">#REF!</definedName>
    <definedName name="S14__18">#REF!</definedName>
    <definedName name="S15_" localSheetId="0">#REF!</definedName>
    <definedName name="S15_">#REF!</definedName>
    <definedName name="S15__13" localSheetId="0">#REF!</definedName>
    <definedName name="S15__13">#REF!</definedName>
    <definedName name="S15__16" localSheetId="0">#REF!</definedName>
    <definedName name="S15__16">#REF!</definedName>
    <definedName name="S15__18" localSheetId="0">#REF!</definedName>
    <definedName name="S15__18">#REF!</definedName>
    <definedName name="S16_" localSheetId="0">#REF!</definedName>
    <definedName name="S16_">#REF!</definedName>
    <definedName name="S16__13" localSheetId="0">#REF!</definedName>
    <definedName name="S16__13">#REF!</definedName>
    <definedName name="S16__16" localSheetId="0">#REF!</definedName>
    <definedName name="S16__16">#REF!</definedName>
    <definedName name="S16__18" localSheetId="0">#REF!</definedName>
    <definedName name="S16__18">#REF!</definedName>
    <definedName name="S17_" localSheetId="0">#REF!</definedName>
    <definedName name="S17_">#REF!</definedName>
    <definedName name="S17__13" localSheetId="0">#REF!</definedName>
    <definedName name="S17__13">#REF!</definedName>
    <definedName name="S17__16" localSheetId="0">#REF!</definedName>
    <definedName name="S17__16">#REF!</definedName>
    <definedName name="S17__18" localSheetId="0">#REF!</definedName>
    <definedName name="S17__18">#REF!</definedName>
    <definedName name="S18_" localSheetId="0">#REF!</definedName>
    <definedName name="S18_">#REF!</definedName>
    <definedName name="S18__13" localSheetId="0">#REF!</definedName>
    <definedName name="S18__13">#REF!</definedName>
    <definedName name="S18__16" localSheetId="0">#REF!</definedName>
    <definedName name="S18__16">#REF!</definedName>
    <definedName name="S18__18" localSheetId="0">#REF!</definedName>
    <definedName name="S18__18">#REF!</definedName>
    <definedName name="S19_" localSheetId="0">#REF!</definedName>
    <definedName name="S19_">#REF!</definedName>
    <definedName name="S19__13" localSheetId="0">#REF!</definedName>
    <definedName name="S19__13">#REF!</definedName>
    <definedName name="S19__16" localSheetId="0">#REF!</definedName>
    <definedName name="S19__16">#REF!</definedName>
    <definedName name="S19__18" localSheetId="0">#REF!</definedName>
    <definedName name="S19__18">#REF!</definedName>
    <definedName name="S2_" localSheetId="0">#REF!</definedName>
    <definedName name="S2_">#REF!</definedName>
    <definedName name="S2__13" localSheetId="0">#REF!</definedName>
    <definedName name="S2__13">#REF!</definedName>
    <definedName name="S2__16" localSheetId="0">#REF!</definedName>
    <definedName name="S2__16">#REF!</definedName>
    <definedName name="S2__18" localSheetId="0">#REF!</definedName>
    <definedName name="S2__18">#REF!</definedName>
    <definedName name="S20_" localSheetId="0">#REF!</definedName>
    <definedName name="S20_">#REF!</definedName>
    <definedName name="S20__13" localSheetId="0">#REF!</definedName>
    <definedName name="S20__13">#REF!</definedName>
    <definedName name="S20__16" localSheetId="0">#REF!</definedName>
    <definedName name="S20__16">#REF!</definedName>
    <definedName name="S20__18" localSheetId="0">#REF!</definedName>
    <definedName name="S20__18">#REF!</definedName>
    <definedName name="S3_" localSheetId="0">#REF!</definedName>
    <definedName name="S3_">#REF!</definedName>
    <definedName name="S3__13" localSheetId="0">#REF!</definedName>
    <definedName name="S3__13">#REF!</definedName>
    <definedName name="S3__16" localSheetId="0">#REF!</definedName>
    <definedName name="S3__16">#REF!</definedName>
    <definedName name="S3__18" localSheetId="0">#REF!</definedName>
    <definedName name="S3__18">#REF!</definedName>
    <definedName name="s341_1" localSheetId="0">'[31]ЛСЦ начисленное на 31.12.08'!#REF!</definedName>
    <definedName name="s341_1">'[31]ЛСЦ начисленное на 31.12.08'!#REF!</definedName>
    <definedName name="s341_10" localSheetId="0">'[31]ЛСЦ начисленное на 31.12.08'!#REF!</definedName>
    <definedName name="s341_10">'[31]ЛСЦ начисленное на 31.12.08'!#REF!</definedName>
    <definedName name="s341_11" localSheetId="0">'[31]ЛСЦ начисленное на 31.12.08'!#REF!</definedName>
    <definedName name="s341_11">'[31]ЛСЦ начисленное на 31.12.08'!#REF!</definedName>
    <definedName name="s341_12" localSheetId="0">'[31]ЛСЦ начисленное на 31.12.08'!#REF!</definedName>
    <definedName name="s341_12">'[31]ЛСЦ начисленное на 31.12.08'!#REF!</definedName>
    <definedName name="s341_13" localSheetId="0">'[31]ЛСЦ начисленное на 31.12.08'!#REF!</definedName>
    <definedName name="s341_13">'[31]ЛСЦ начисленное на 31.12.08'!#REF!</definedName>
    <definedName name="s341_15" localSheetId="0">'[31]ЛСЦ начисленное на 31.12.08'!#REF!</definedName>
    <definedName name="s341_15">'[31]ЛСЦ начисленное на 31.12.08'!#REF!</definedName>
    <definedName name="s341_19" localSheetId="0">'[31]ЛСЦ начисленное на 31.12.08'!#REF!</definedName>
    <definedName name="s341_19">'[31]ЛСЦ начисленное на 31.12.08'!#REF!</definedName>
    <definedName name="s341_2" localSheetId="0">'[31]ЛСЦ начисленное на 31.12.08'!#REF!</definedName>
    <definedName name="s341_2">'[31]ЛСЦ начисленное на 31.12.08'!#REF!</definedName>
    <definedName name="s341_20" localSheetId="0">'[31]ЛСЦ начисленное на 31.12.08'!#REF!</definedName>
    <definedName name="s341_20">'[31]ЛСЦ начисленное на 31.12.08'!#REF!</definedName>
    <definedName name="s341_21" localSheetId="0">'[31]ЛСЦ начисленное на 31.12.08'!#REF!</definedName>
    <definedName name="s341_21">'[31]ЛСЦ начисленное на 31.12.08'!#REF!</definedName>
    <definedName name="s341_22" localSheetId="0">'[31]ЛСЦ начисленное на 31.12.08'!#REF!</definedName>
    <definedName name="s341_22">'[31]ЛСЦ начисленное на 31.12.08'!#REF!</definedName>
    <definedName name="s341_23" localSheetId="0">'[31]ЛСЦ начисленное на 31.12.08'!#REF!</definedName>
    <definedName name="s341_23">'[31]ЛСЦ начисленное на 31.12.08'!#REF!</definedName>
    <definedName name="s341_24" localSheetId="0">'[31]ЛСЦ начисленное на 31.12.08'!#REF!</definedName>
    <definedName name="s341_24">'[31]ЛСЦ начисленное на 31.12.08'!#REF!</definedName>
    <definedName name="s341_27" localSheetId="0">'[31]ЛСЦ начисленное на 31.12.08'!#REF!</definedName>
    <definedName name="s341_27">'[31]ЛСЦ начисленное на 31.12.08'!#REF!</definedName>
    <definedName name="s341_28" localSheetId="0">'[31]ЛСЦ начисленное на 31.12.08'!#REF!</definedName>
    <definedName name="s341_28">'[31]ЛСЦ начисленное на 31.12.08'!#REF!</definedName>
    <definedName name="s341_29" localSheetId="0">'[31]ЛСЦ начисленное на 31.12.08'!#REF!</definedName>
    <definedName name="s341_29">'[31]ЛСЦ начисленное на 31.12.08'!#REF!</definedName>
    <definedName name="s341_3" localSheetId="0">'[31]ЛСЦ начисленное на 31.12.08'!#REF!</definedName>
    <definedName name="s341_3">'[31]ЛСЦ начисленное на 31.12.08'!#REF!</definedName>
    <definedName name="s341_34" localSheetId="0">'[31]ЛСЦ начисленное на 31.12.08'!#REF!</definedName>
    <definedName name="s341_34">'[31]ЛСЦ начисленное на 31.12.08'!#REF!</definedName>
    <definedName name="s341_4" localSheetId="0">'[31]ЛСЦ начисленное на 31.12.08'!#REF!</definedName>
    <definedName name="s341_4">'[31]ЛСЦ начисленное на 31.12.08'!#REF!</definedName>
    <definedName name="s341_5" localSheetId="0">'[31]ЛСЦ начисленное на 31.12.08'!#REF!</definedName>
    <definedName name="s341_5">'[31]ЛСЦ начисленное на 31.12.08'!#REF!</definedName>
    <definedName name="s341_6" localSheetId="0">'[31]ЛСЦ начисленное на 31.12.08'!#REF!</definedName>
    <definedName name="s341_6">'[31]ЛСЦ начисленное на 31.12.08'!#REF!</definedName>
    <definedName name="s341_7" localSheetId="0">'[31]ЛСЦ начисленное на 31.12.08'!#REF!</definedName>
    <definedName name="s341_7">'[31]ЛСЦ начисленное на 31.12.08'!#REF!</definedName>
    <definedName name="s341_8" localSheetId="0">'[31]ЛСЦ начисленное на 31.12.08'!#REF!</definedName>
    <definedName name="s341_8">'[31]ЛСЦ начисленное на 31.12.08'!#REF!</definedName>
    <definedName name="s341_9" localSheetId="0">'[31]ЛСЦ начисленное на 31.12.08'!#REF!</definedName>
    <definedName name="s341_9">'[31]ЛСЦ начисленное на 31.12.08'!#REF!</definedName>
    <definedName name="S4_" localSheetId="0">#REF!</definedName>
    <definedName name="S4_">#REF!</definedName>
    <definedName name="S4__13" localSheetId="0">#REF!</definedName>
    <definedName name="S4__13">#REF!</definedName>
    <definedName name="S4__16" localSheetId="0">#REF!</definedName>
    <definedName name="S4__16">#REF!</definedName>
    <definedName name="S4__18" localSheetId="0">#REF!</definedName>
    <definedName name="S4__18">#REF!</definedName>
    <definedName name="S5_" localSheetId="0">#REF!</definedName>
    <definedName name="S5_">#REF!</definedName>
    <definedName name="S5__13" localSheetId="0">#REF!</definedName>
    <definedName name="S5__13">#REF!</definedName>
    <definedName name="S5__16" localSheetId="0">#REF!</definedName>
    <definedName name="S5__16">#REF!</definedName>
    <definedName name="S5__18" localSheetId="0">#REF!</definedName>
    <definedName name="S5__18">#REF!</definedName>
    <definedName name="S6_" localSheetId="0">#REF!</definedName>
    <definedName name="S6_">#REF!</definedName>
    <definedName name="S6__13" localSheetId="0">#REF!</definedName>
    <definedName name="S6__13">#REF!</definedName>
    <definedName name="S6__16" localSheetId="0">#REF!</definedName>
    <definedName name="S6__16">#REF!</definedName>
    <definedName name="S6__18" localSheetId="0">#REF!</definedName>
    <definedName name="S6__18">#REF!</definedName>
    <definedName name="S7_" localSheetId="0">#REF!</definedName>
    <definedName name="S7_">#REF!</definedName>
    <definedName name="S7__13" localSheetId="0">#REF!</definedName>
    <definedName name="S7__13">#REF!</definedName>
    <definedName name="S7__16" localSheetId="0">#REF!</definedName>
    <definedName name="S7__16">#REF!</definedName>
    <definedName name="S7__18" localSheetId="0">#REF!</definedName>
    <definedName name="S7__18">#REF!</definedName>
    <definedName name="S8_" localSheetId="0">#REF!</definedName>
    <definedName name="S8_">#REF!</definedName>
    <definedName name="S8__13" localSheetId="0">#REF!</definedName>
    <definedName name="S8__13">#REF!</definedName>
    <definedName name="S8__16" localSheetId="0">#REF!</definedName>
    <definedName name="S8__16">#REF!</definedName>
    <definedName name="S8__18" localSheetId="0">#REF!</definedName>
    <definedName name="S8__18">#REF!</definedName>
    <definedName name="S9_" localSheetId="0">#REF!</definedName>
    <definedName name="S9_">#REF!</definedName>
    <definedName name="S9__13" localSheetId="0">#REF!</definedName>
    <definedName name="S9__13">#REF!</definedName>
    <definedName name="S9__16" localSheetId="0">#REF!</definedName>
    <definedName name="S9__16">#REF!</definedName>
    <definedName name="S9__18" localSheetId="0">#REF!</definedName>
    <definedName name="S9__18">#REF!</definedName>
    <definedName name="Sched_Pay" localSheetId="0">#REF!</definedName>
    <definedName name="Sched_Pay">#REF!</definedName>
    <definedName name="Scheduled_Extra_Payments" localSheetId="0">#REF!</definedName>
    <definedName name="Scheduled_Extra_Payments">#REF!</definedName>
    <definedName name="Scheduled_Interest_Rate" localSheetId="0">#REF!</definedName>
    <definedName name="Scheduled_Interest_Rate">#REF!</definedName>
    <definedName name="Scheduled_Monthly_Payment" localSheetId="0">#REF!</definedName>
    <definedName name="Scheduled_Monthly_Payment">#REF!</definedName>
    <definedName name="sd" localSheetId="0">#REF!</definedName>
    <definedName name="sd">#REF!</definedName>
    <definedName name="sfd" localSheetId="0">#REF!</definedName>
    <definedName name="sfd">#REF!</definedName>
    <definedName name="ShEquity" localSheetId="0">#REF!</definedName>
    <definedName name="ShEquity">#REF!</definedName>
    <definedName name="ShEquity1" localSheetId="0">#REF!</definedName>
    <definedName name="ShEquity1">#REF!</definedName>
    <definedName name="ss341_1" localSheetId="0">'[31]ЛСЦ начисленное на 31.12.08'!#REF!</definedName>
    <definedName name="ss341_1">'[31]ЛСЦ начисленное на 31.12.08'!#REF!</definedName>
    <definedName name="ss341_10" localSheetId="0">'[31]ЛСЦ начисленное на 31.12.08'!#REF!</definedName>
    <definedName name="ss341_10">'[31]ЛСЦ начисленное на 31.12.08'!#REF!</definedName>
    <definedName name="ss341_11" localSheetId="0">'[31]ЛСЦ начисленное на 31.12.08'!#REF!</definedName>
    <definedName name="ss341_11">'[31]ЛСЦ начисленное на 31.12.08'!#REF!</definedName>
    <definedName name="ss341_12" localSheetId="0">'[31]ЛСЦ начисленное на 31.12.08'!#REF!</definedName>
    <definedName name="ss341_12">'[31]ЛСЦ начисленное на 31.12.08'!#REF!</definedName>
    <definedName name="ss341_13" localSheetId="0">'[31]ЛСЦ начисленное на 31.12.08'!#REF!</definedName>
    <definedName name="ss341_13">'[31]ЛСЦ начисленное на 31.12.08'!#REF!</definedName>
    <definedName name="ss341_15" localSheetId="0">'[31]ЛСЦ начисленное на 31.12.08'!#REF!</definedName>
    <definedName name="ss341_15">'[31]ЛСЦ начисленное на 31.12.08'!#REF!</definedName>
    <definedName name="ss341_19" localSheetId="0">'[31]ЛСЦ начисленное на 31.12.08'!#REF!</definedName>
    <definedName name="ss341_19">'[31]ЛСЦ начисленное на 31.12.08'!#REF!</definedName>
    <definedName name="ss341_2" localSheetId="0">'[31]ЛСЦ начисленное на 31.12.08'!#REF!</definedName>
    <definedName name="ss341_2">'[31]ЛСЦ начисленное на 31.12.08'!#REF!</definedName>
    <definedName name="ss341_20" localSheetId="0">'[31]ЛСЦ начисленное на 31.12.08'!#REF!</definedName>
    <definedName name="ss341_20">'[31]ЛСЦ начисленное на 31.12.08'!#REF!</definedName>
    <definedName name="ss341_21" localSheetId="0">'[31]ЛСЦ начисленное на 31.12.08'!#REF!</definedName>
    <definedName name="ss341_21">'[31]ЛСЦ начисленное на 31.12.08'!#REF!</definedName>
    <definedName name="ss341_22" localSheetId="0">'[31]ЛСЦ начисленное на 31.12.08'!#REF!</definedName>
    <definedName name="ss341_22">'[31]ЛСЦ начисленное на 31.12.08'!#REF!</definedName>
    <definedName name="ss341_23" localSheetId="0">'[31]ЛСЦ начисленное на 31.12.08'!#REF!</definedName>
    <definedName name="ss341_23">'[31]ЛСЦ начисленное на 31.12.08'!#REF!</definedName>
    <definedName name="ss341_24" localSheetId="0">'[31]ЛСЦ начисленное на 31.12.08'!#REF!</definedName>
    <definedName name="ss341_24">'[31]ЛСЦ начисленное на 31.12.08'!#REF!</definedName>
    <definedName name="ss341_27" localSheetId="0">'[31]ЛСЦ начисленное на 31.12.08'!#REF!</definedName>
    <definedName name="ss341_27">'[31]ЛСЦ начисленное на 31.12.08'!#REF!</definedName>
    <definedName name="ss341_28" localSheetId="0">'[31]ЛСЦ начисленное на 31.12.08'!#REF!</definedName>
    <definedName name="ss341_28">'[31]ЛСЦ начисленное на 31.12.08'!#REF!</definedName>
    <definedName name="ss341_29" localSheetId="0">'[31]ЛСЦ начисленное на 31.12.08'!#REF!</definedName>
    <definedName name="ss341_29">'[31]ЛСЦ начисленное на 31.12.08'!#REF!</definedName>
    <definedName name="ss341_3" localSheetId="0">'[31]ЛСЦ начисленное на 31.12.08'!#REF!</definedName>
    <definedName name="ss341_3">'[31]ЛСЦ начисленное на 31.12.08'!#REF!</definedName>
    <definedName name="ss341_34" localSheetId="0">'[31]ЛСЦ начисленное на 31.12.08'!#REF!</definedName>
    <definedName name="ss341_34">'[31]ЛСЦ начисленное на 31.12.08'!#REF!</definedName>
    <definedName name="ss341_4" localSheetId="0">'[31]ЛСЦ начисленное на 31.12.08'!#REF!</definedName>
    <definedName name="ss341_4">'[31]ЛСЦ начисленное на 31.12.08'!#REF!</definedName>
    <definedName name="ss341_5" localSheetId="0">'[31]ЛСЦ начисленное на 31.12.08'!#REF!</definedName>
    <definedName name="ss341_5">'[31]ЛСЦ начисленное на 31.12.08'!#REF!</definedName>
    <definedName name="ss341_6" localSheetId="0">'[31]ЛСЦ начисленное на 31.12.08'!#REF!</definedName>
    <definedName name="ss341_6">'[31]ЛСЦ начисленное на 31.12.08'!#REF!</definedName>
    <definedName name="ss341_7" localSheetId="0">'[31]ЛСЦ начисленное на 31.12.08'!#REF!</definedName>
    <definedName name="ss341_7">'[31]ЛСЦ начисленное на 31.12.08'!#REF!</definedName>
    <definedName name="ss341_8" localSheetId="0">'[31]ЛСЦ начисленное на 31.12.08'!#REF!</definedName>
    <definedName name="ss341_8">'[31]ЛСЦ начисленное на 31.12.08'!#REF!</definedName>
    <definedName name="ss341_9" localSheetId="0">'[31]ЛСЦ начисленное на 31.12.08'!#REF!</definedName>
    <definedName name="ss341_9">'[31]ЛСЦ начисленное на 31.12.08'!#REF!</definedName>
    <definedName name="SyncrudeJV" localSheetId="0">#REF!</definedName>
    <definedName name="SyncrudeJV">#REF!</definedName>
    <definedName name="SyncrudeJV1" localSheetId="0">#REF!</definedName>
    <definedName name="SyncrudeJV1">#REF!</definedName>
    <definedName name="Tariff" localSheetId="0">[32]Capex!#REF!</definedName>
    <definedName name="Tariff">[32]Capex!#REF!</definedName>
    <definedName name="TB_AFTER_adjs" localSheetId="0">#REF!</definedName>
    <definedName name="TB_AFTER_adjs">#REF!</definedName>
    <definedName name="TB_before_adjs" localSheetId="0">#REF!</definedName>
    <definedName name="TB_before_adjs">#REF!</definedName>
    <definedName name="TEST0" localSheetId="0">#REF!</definedName>
    <definedName name="TEST0">#REF!</definedName>
    <definedName name="TESTHKEY" localSheetId="0">#REF!</definedName>
    <definedName name="TESTHKEY">#REF!</definedName>
    <definedName name="TESTKEYS" localSheetId="0">#REF!</definedName>
    <definedName name="TESTKEYS">#REF!</definedName>
    <definedName name="TESTVKEY" localSheetId="0">#REF!</definedName>
    <definedName name="TESTVKEY">#REF!</definedName>
    <definedName name="TextRefCopy1" localSheetId="0">#REF!</definedName>
    <definedName name="TextRefCopy1">#REF!</definedName>
    <definedName name="TextRefCopy10" localSheetId="0">'[33]GAAP TB 31.12.01  detail p&amp;l'!#REF!</definedName>
    <definedName name="TextRefCopy10">'[33]GAAP TB 31.12.01  detail p&amp;l'!#REF!</definedName>
    <definedName name="TextRefCopy100" localSheetId="0">#REF!</definedName>
    <definedName name="TextRefCopy100">#REF!</definedName>
    <definedName name="TextRefCopy101" localSheetId="0">'[34]FA Movement '!#REF!</definedName>
    <definedName name="TextRefCopy101">'[34]FA Movement '!#REF!</definedName>
    <definedName name="TextRefCopy102" localSheetId="0">#REF!</definedName>
    <definedName name="TextRefCopy102">#REF!</definedName>
    <definedName name="TextRefCopy103" localSheetId="0">#REF!</definedName>
    <definedName name="TextRefCopy103">#REF!</definedName>
    <definedName name="TextRefCopy104" localSheetId="0">#REF!</definedName>
    <definedName name="TextRefCopy104">#REF!</definedName>
    <definedName name="TextRefCopy105" localSheetId="0">#REF!</definedName>
    <definedName name="TextRefCopy105">#REF!</definedName>
    <definedName name="TextRefCopy106" localSheetId="0">#REF!</definedName>
    <definedName name="TextRefCopy106">#REF!</definedName>
    <definedName name="TextRefCopy107" localSheetId="0">#REF!</definedName>
    <definedName name="TextRefCopy107">#REF!</definedName>
    <definedName name="TextRefCopy108" localSheetId="0">#REF!</definedName>
    <definedName name="TextRefCopy108">#REF!</definedName>
    <definedName name="TextRefCopy109" localSheetId="0">#REF!</definedName>
    <definedName name="TextRefCopy109">#REF!</definedName>
    <definedName name="TextRefCopy11" localSheetId="0">#REF!</definedName>
    <definedName name="TextRefCopy11">#REF!</definedName>
    <definedName name="TextRefCopy111" localSheetId="0">#REF!</definedName>
    <definedName name="TextRefCopy111">#REF!</definedName>
    <definedName name="TextRefCopy112" localSheetId="0">'[35]Additions testing'!#REF!</definedName>
    <definedName name="TextRefCopy112">'[35]Additions testing'!#REF!</definedName>
    <definedName name="TextRefCopy113" localSheetId="0">[36]breakdown!#REF!</definedName>
    <definedName name="TextRefCopy113">[36]breakdown!#REF!</definedName>
    <definedName name="TextRefCopy114" localSheetId="0">#REF!</definedName>
    <definedName name="TextRefCopy114">#REF!</definedName>
    <definedName name="TextRefCopy115" localSheetId="0">#REF!</definedName>
    <definedName name="TextRefCopy115">#REF!</definedName>
    <definedName name="TextRefCopy116" localSheetId="0">#REF!</definedName>
    <definedName name="TextRefCopy116">#REF!</definedName>
    <definedName name="TextRefCopy117" localSheetId="0">'[35]Additions testing'!#REF!</definedName>
    <definedName name="TextRefCopy117">'[35]Additions testing'!#REF!</definedName>
    <definedName name="TextRefCopy118" localSheetId="0">#REF!</definedName>
    <definedName name="TextRefCopy118">#REF!</definedName>
    <definedName name="TextRefCopy119" localSheetId="0">#REF!</definedName>
    <definedName name="TextRefCopy119">#REF!</definedName>
    <definedName name="TextRefCopy12" localSheetId="0">'[33]GAAP TB 31.12.01  detail p&amp;l'!#REF!</definedName>
    <definedName name="TextRefCopy12">'[33]GAAP TB 31.12.01  detail p&amp;l'!#REF!</definedName>
    <definedName name="TextRefCopy120">'[37]P&amp;L'!$B$20</definedName>
    <definedName name="TextRefCopy126" localSheetId="0">'[35]Movement schedule'!#REF!</definedName>
    <definedName name="TextRefCopy126">'[35]Movement schedule'!#REF!</definedName>
    <definedName name="TextRefCopy127" localSheetId="0">'[31]ЛЛизинг начис. на 31.12.08'!#REF!</definedName>
    <definedName name="TextRefCopy127">'[31]ЛЛизинг начис. на 31.12.08'!#REF!</definedName>
    <definedName name="TextRefCopy128" localSheetId="0">'[23]7'!#REF!</definedName>
    <definedName name="TextRefCopy128">'[23]7'!#REF!</definedName>
    <definedName name="TextRefCopy13" localSheetId="0">'[33]GAAP TB 31.12.01  detail p&amp;l'!#REF!</definedName>
    <definedName name="TextRefCopy13">'[33]GAAP TB 31.12.01  detail p&amp;l'!#REF!</definedName>
    <definedName name="TextRefCopy132" localSheetId="0">'[23]7'!#REF!</definedName>
    <definedName name="TextRefCopy132">'[23]7'!#REF!</definedName>
    <definedName name="TextRefCopy133" localSheetId="0">'[35]Movement schedule'!#REF!</definedName>
    <definedName name="TextRefCopy133">'[35]Movement schedule'!#REF!</definedName>
    <definedName name="TextRefCopy134" localSheetId="0">'[31]ЛЛизинг начис. на 31.12.08'!#REF!</definedName>
    <definedName name="TextRefCopy134">'[31]ЛЛизинг начис. на 31.12.08'!#REF!</definedName>
    <definedName name="TextRefCopy135" localSheetId="0">'[23]7'!#REF!</definedName>
    <definedName name="TextRefCopy135">'[23]7'!#REF!</definedName>
    <definedName name="TextRefCopy137" localSheetId="0">'[23]7'!#REF!</definedName>
    <definedName name="TextRefCopy137">'[23]7'!#REF!</definedName>
    <definedName name="TextRefCopy139" localSheetId="0">'[23]7'!#REF!</definedName>
    <definedName name="TextRefCopy139">'[23]7'!#REF!</definedName>
    <definedName name="TextRefCopy14" localSheetId="0">'[33]GAAP TB 31.12.01  detail p&amp;l'!#REF!</definedName>
    <definedName name="TextRefCopy14">'[33]GAAP TB 31.12.01  detail p&amp;l'!#REF!</definedName>
    <definedName name="TextRefCopy140" localSheetId="0">'[23]7'!#REF!</definedName>
    <definedName name="TextRefCopy140">'[23]7'!#REF!</definedName>
    <definedName name="TextRefCopy141" localSheetId="0">'[23]7'!#REF!</definedName>
    <definedName name="TextRefCopy141">'[23]7'!#REF!</definedName>
    <definedName name="TextRefCopy143" localSheetId="0">'[31]ЛЛизинг начис. на 31.12.08'!#REF!</definedName>
    <definedName name="TextRefCopy143">'[31]ЛЛизинг начис. на 31.12.08'!#REF!</definedName>
    <definedName name="TextRefCopy144" localSheetId="0">'[31]ЛЛизинг начис. на 31.12.08'!#REF!</definedName>
    <definedName name="TextRefCopy144">'[31]ЛЛизинг начис. на 31.12.08'!#REF!</definedName>
    <definedName name="TextRefCopy146" localSheetId="0">#REF!</definedName>
    <definedName name="TextRefCopy146">#REF!</definedName>
    <definedName name="TextRefCopy148" localSheetId="0">'[23]7'!#REF!</definedName>
    <definedName name="TextRefCopy148">'[23]7'!#REF!</definedName>
    <definedName name="TextRefCopy149" localSheetId="0">'[23]7'!#REF!</definedName>
    <definedName name="TextRefCopy149">'[23]7'!#REF!</definedName>
    <definedName name="TextRefCopy15" localSheetId="0">'[33]GAAP TB 31.12.01  detail p&amp;l'!#REF!</definedName>
    <definedName name="TextRefCopy15">'[33]GAAP TB 31.12.01  detail p&amp;l'!#REF!</definedName>
    <definedName name="TextRefCopy150" localSheetId="0">'[23]7'!#REF!</definedName>
    <definedName name="TextRefCopy150">'[23]7'!#REF!</definedName>
    <definedName name="TextRefCopy151" localSheetId="0">'[23]7'!#REF!</definedName>
    <definedName name="TextRefCopy151">'[23]7'!#REF!</definedName>
    <definedName name="TextRefCopy153" localSheetId="0">'[23]7'!#REF!</definedName>
    <definedName name="TextRefCopy153">'[23]7'!#REF!</definedName>
    <definedName name="TextRefCopy154" localSheetId="0">#REF!</definedName>
    <definedName name="TextRefCopy154">#REF!</definedName>
    <definedName name="TextRefCopy155" localSheetId="0">'[23]7'!#REF!</definedName>
    <definedName name="TextRefCopy155">'[23]7'!#REF!</definedName>
    <definedName name="TextRefCopy16" localSheetId="0">#REF!</definedName>
    <definedName name="TextRefCopy16">#REF!</definedName>
    <definedName name="TextRefCopy160" localSheetId="0">#REF!</definedName>
    <definedName name="TextRefCopy160">#REF!</definedName>
    <definedName name="TextRefCopy161" localSheetId="0">#REF!</definedName>
    <definedName name="TextRefCopy161">#REF!</definedName>
    <definedName name="TextRefCopy162" localSheetId="0">#REF!</definedName>
    <definedName name="TextRefCopy162">#REF!</definedName>
    <definedName name="TextRefCopy163" localSheetId="0">#REF!</definedName>
    <definedName name="TextRefCopy163">#REF!</definedName>
    <definedName name="TextRefCopy164" localSheetId="0">#REF!</definedName>
    <definedName name="TextRefCopy164">#REF!</definedName>
    <definedName name="TextRefCopy165" localSheetId="0">#REF!</definedName>
    <definedName name="TextRefCopy165">#REF!</definedName>
    <definedName name="TextRefCopy167" localSheetId="0">#REF!</definedName>
    <definedName name="TextRefCopy167">#REF!</definedName>
    <definedName name="TextRefCopy169" localSheetId="0">#REF!</definedName>
    <definedName name="TextRefCopy169">#REF!</definedName>
    <definedName name="TextRefCopy17" localSheetId="0">#REF!</definedName>
    <definedName name="TextRefCopy17">#REF!</definedName>
    <definedName name="TextRefCopy171" localSheetId="0">#REF!</definedName>
    <definedName name="TextRefCopy171">#REF!</definedName>
    <definedName name="TextRefCopy173" localSheetId="0">#REF!</definedName>
    <definedName name="TextRefCopy173">#REF!</definedName>
    <definedName name="TextRefCopy174" localSheetId="0">#REF!</definedName>
    <definedName name="TextRefCopy174">#REF!</definedName>
    <definedName name="TextRefCopy175" localSheetId="0">#REF!</definedName>
    <definedName name="TextRefCopy175">#REF!</definedName>
    <definedName name="TextRefCopy177" localSheetId="0">#REF!</definedName>
    <definedName name="TextRefCopy177">#REF!</definedName>
    <definedName name="TextRefCopy178" localSheetId="0">#REF!</definedName>
    <definedName name="TextRefCopy178">#REF!</definedName>
    <definedName name="TextRefCopy18" localSheetId="0">'[33]GAAP TB 31.12.01  detail p&amp;l'!#REF!</definedName>
    <definedName name="TextRefCopy18">'[33]GAAP TB 31.12.01  detail p&amp;l'!#REF!</definedName>
    <definedName name="TextRefCopy180" localSheetId="0">#REF!</definedName>
    <definedName name="TextRefCopy180">#REF!</definedName>
    <definedName name="TextRefCopy181" localSheetId="0">#REF!</definedName>
    <definedName name="TextRefCopy181">#REF!</definedName>
    <definedName name="TextRefCopy183" localSheetId="0">#REF!</definedName>
    <definedName name="TextRefCopy183">#REF!</definedName>
    <definedName name="TextRefCopy186" localSheetId="0">#REF!</definedName>
    <definedName name="TextRefCopy186">#REF!</definedName>
    <definedName name="TextRefCopy188" localSheetId="0">#REF!</definedName>
    <definedName name="TextRefCopy188">#REF!</definedName>
    <definedName name="TextRefCopy19" localSheetId="0">'[33]GAAP TB 31.12.01  detail p&amp;l'!#REF!</definedName>
    <definedName name="TextRefCopy19">'[33]GAAP TB 31.12.01  detail p&amp;l'!#REF!</definedName>
    <definedName name="TextRefCopy190" localSheetId="0">#REF!</definedName>
    <definedName name="TextRefCopy190">#REF!</definedName>
    <definedName name="TextRefCopy192" localSheetId="0">#REF!</definedName>
    <definedName name="TextRefCopy192">#REF!</definedName>
    <definedName name="TextRefCopy193" localSheetId="0">#REF!</definedName>
    <definedName name="TextRefCopy193">#REF!</definedName>
    <definedName name="TextRefCopy195" localSheetId="0">#REF!</definedName>
    <definedName name="TextRefCopy195">#REF!</definedName>
    <definedName name="TextRefCopy198" localSheetId="0">#REF!</definedName>
    <definedName name="TextRefCopy198">#REF!</definedName>
    <definedName name="TextRefCopy2" localSheetId="0">#REF!</definedName>
    <definedName name="TextRefCopy2">#REF!</definedName>
    <definedName name="TextRefCopy20" localSheetId="0">'[33]GAAP TB 31.12.01  detail p&amp;l'!#REF!</definedName>
    <definedName name="TextRefCopy20">'[33]GAAP TB 31.12.01  detail p&amp;l'!#REF!</definedName>
    <definedName name="TextRefCopy21" localSheetId="0">'[34]FA Movement '!#REF!</definedName>
    <definedName name="TextRefCopy21">'[34]FA Movement '!#REF!</definedName>
    <definedName name="TextRefCopy22" localSheetId="0">'[34]FA Movement '!#REF!</definedName>
    <definedName name="TextRefCopy22">'[34]FA Movement '!#REF!</definedName>
    <definedName name="TextRefCopy23" localSheetId="0">'[34]FA Movement '!#REF!</definedName>
    <definedName name="TextRefCopy23">'[34]FA Movement '!#REF!</definedName>
    <definedName name="TextRefCopy238" localSheetId="0">'[23]10'!#REF!</definedName>
    <definedName name="TextRefCopy238">'[23]10'!#REF!</definedName>
    <definedName name="TextRefCopy24" localSheetId="0">'[38]9-1'!#REF!</definedName>
    <definedName name="TextRefCopy24">'[38]9-1'!#REF!</definedName>
    <definedName name="TextRefCopy25" localSheetId="0">'[34]FA Movement '!#REF!</definedName>
    <definedName name="TextRefCopy25">'[34]FA Movement '!#REF!</definedName>
    <definedName name="TextRefCopy26" localSheetId="0">'[34]FA Movement '!#REF!</definedName>
    <definedName name="TextRefCopy26">'[34]FA Movement '!#REF!</definedName>
    <definedName name="TextRefCopy27" localSheetId="0">'[34]FA Movement '!#REF!</definedName>
    <definedName name="TextRefCopy27">'[34]FA Movement '!#REF!</definedName>
    <definedName name="TextRefCopy274" localSheetId="0">'[23]10'!#REF!</definedName>
    <definedName name="TextRefCopy274">'[23]10'!#REF!</definedName>
    <definedName name="TextRefCopy275" localSheetId="0">#REF!</definedName>
    <definedName name="TextRefCopy275">#REF!</definedName>
    <definedName name="TextRefCopy276" localSheetId="0">'[23]10'!#REF!</definedName>
    <definedName name="TextRefCopy276">'[23]10'!#REF!</definedName>
    <definedName name="TextRefCopy277" localSheetId="0">#REF!</definedName>
    <definedName name="TextRefCopy277">#REF!</definedName>
    <definedName name="TextRefCopy278" localSheetId="0">'[23]10'!#REF!</definedName>
    <definedName name="TextRefCopy278">'[23]10'!#REF!</definedName>
    <definedName name="TextRefCopy28" localSheetId="0">#REF!</definedName>
    <definedName name="TextRefCopy28">#REF!</definedName>
    <definedName name="TextRefCopy280" localSheetId="0">#REF!</definedName>
    <definedName name="TextRefCopy280">#REF!</definedName>
    <definedName name="TextRefCopy281" localSheetId="0">'[23]10'!#REF!</definedName>
    <definedName name="TextRefCopy281">'[23]10'!#REF!</definedName>
    <definedName name="TextRefCopy282" localSheetId="0">'[23]10'!#REF!</definedName>
    <definedName name="TextRefCopy282">'[23]10'!#REF!</definedName>
    <definedName name="TextRefCopy283" localSheetId="0">'[23]10'!#REF!</definedName>
    <definedName name="TextRefCopy283">'[23]10'!#REF!</definedName>
    <definedName name="TextRefCopy284" localSheetId="0">'[23]10'!#REF!</definedName>
    <definedName name="TextRefCopy284">'[23]10'!#REF!</definedName>
    <definedName name="TextRefCopy285" localSheetId="0">'[23]10'!#REF!</definedName>
    <definedName name="TextRefCopy285">'[23]10'!#REF!</definedName>
    <definedName name="TextRefCopy29" localSheetId="0">'[38]9-1'!#REF!</definedName>
    <definedName name="TextRefCopy29">'[38]9-1'!#REF!</definedName>
    <definedName name="TextRefCopy3" localSheetId="0">'[39]Собственный капитал'!#REF!</definedName>
    <definedName name="TextRefCopy3">'[39]Собственный капитал'!#REF!</definedName>
    <definedName name="TextRefCopy30" localSheetId="0">'[23]7'!#REF!</definedName>
    <definedName name="TextRefCopy30">'[23]7'!#REF!</definedName>
    <definedName name="TextRefCopy307" localSheetId="0">'[23]10'!#REF!</definedName>
    <definedName name="TextRefCopy307">'[23]10'!#REF!</definedName>
    <definedName name="TextRefCopy309" localSheetId="0">'[23]10'!#REF!</definedName>
    <definedName name="TextRefCopy309">'[23]10'!#REF!</definedName>
    <definedName name="TextRefCopy31" localSheetId="0">'[34]FA Movement '!#REF!</definedName>
    <definedName name="TextRefCopy31">'[34]FA Movement '!#REF!</definedName>
    <definedName name="TextRefCopy310" localSheetId="0">'[23]10'!#REF!</definedName>
    <definedName name="TextRefCopy310">'[23]10'!#REF!</definedName>
    <definedName name="TextRefCopy312" localSheetId="0">'[23]10'!#REF!</definedName>
    <definedName name="TextRefCopy312">'[23]10'!#REF!</definedName>
    <definedName name="TextRefCopy32" localSheetId="0">'[34]FA Movement '!#REF!</definedName>
    <definedName name="TextRefCopy32">'[34]FA Movement '!#REF!</definedName>
    <definedName name="TextRefCopy33" localSheetId="0">'[34]FA Movement '!#REF!</definedName>
    <definedName name="TextRefCopy33">'[34]FA Movement '!#REF!</definedName>
    <definedName name="TextRefCopy34" localSheetId="0">#REF!</definedName>
    <definedName name="TextRefCopy34">#REF!</definedName>
    <definedName name="TextRefCopy35" localSheetId="0">'[34]FA Movement '!#REF!</definedName>
    <definedName name="TextRefCopy35">'[34]FA Movement '!#REF!</definedName>
    <definedName name="TextRefCopy36" localSheetId="0">#REF!</definedName>
    <definedName name="TextRefCopy36">#REF!</definedName>
    <definedName name="TextRefCopy37" localSheetId="0">'[34]FA Movement '!#REF!</definedName>
    <definedName name="TextRefCopy37">'[34]FA Movement '!#REF!</definedName>
    <definedName name="TextRefCopy38" localSheetId="0">'[34]FA Movement '!#REF!</definedName>
    <definedName name="TextRefCopy38">'[34]FA Movement '!#REF!</definedName>
    <definedName name="TextRefCopy39" localSheetId="0">'[34]FA Movement '!#REF!</definedName>
    <definedName name="TextRefCopy39">'[34]FA Movement '!#REF!</definedName>
    <definedName name="TextRefCopy4" localSheetId="0">'[33]GAAP TB 31.12.01  detail p&amp;l'!#REF!</definedName>
    <definedName name="TextRefCopy4">'[33]GAAP TB 31.12.01  detail p&amp;l'!#REF!</definedName>
    <definedName name="TextRefCopy40" localSheetId="0">'[34]FA Movement '!#REF!</definedName>
    <definedName name="TextRefCopy40">'[34]FA Movement '!#REF!</definedName>
    <definedName name="TextRefCopy41" localSheetId="0">#REF!</definedName>
    <definedName name="TextRefCopy41">#REF!</definedName>
    <definedName name="TextRefCopy42" localSheetId="0">#REF!</definedName>
    <definedName name="TextRefCopy42">#REF!</definedName>
    <definedName name="TextRefCopy43" localSheetId="0">#REF!</definedName>
    <definedName name="TextRefCopy43">#REF!</definedName>
    <definedName name="TextRefCopy44" localSheetId="0">#REF!</definedName>
    <definedName name="TextRefCopy44">#REF!</definedName>
    <definedName name="TextRefCopy45" localSheetId="0">#REF!</definedName>
    <definedName name="TextRefCopy45">#REF!</definedName>
    <definedName name="TextRefCopy46" localSheetId="0">'[34]FA Movement '!#REF!</definedName>
    <definedName name="TextRefCopy46">'[34]FA Movement '!#REF!</definedName>
    <definedName name="TextRefCopy47" localSheetId="0">#REF!</definedName>
    <definedName name="TextRefCopy47">#REF!</definedName>
    <definedName name="TextRefCopy48">[37]Provisions!$B$6</definedName>
    <definedName name="TextRefCopy49" localSheetId="0">#REF!</definedName>
    <definedName name="TextRefCopy49">#REF!</definedName>
    <definedName name="TextRefCopy5" localSheetId="0">'[39]Собственный капитал'!#REF!</definedName>
    <definedName name="TextRefCopy5">'[39]Собственный капитал'!#REF!</definedName>
    <definedName name="TextRefCopy50" localSheetId="0">[36]breakdown!#REF!</definedName>
    <definedName name="TextRefCopy50">[36]breakdown!#REF!</definedName>
    <definedName name="TextRefCopy51" localSheetId="0">[36]breakdown!#REF!</definedName>
    <definedName name="TextRefCopy51">[36]breakdown!#REF!</definedName>
    <definedName name="TextRefCopy53" localSheetId="0">'[36]FA depreciation'!#REF!</definedName>
    <definedName name="TextRefCopy53">'[36]FA depreciation'!#REF!</definedName>
    <definedName name="TextRefCopy54" localSheetId="0">#REF!</definedName>
    <definedName name="TextRefCopy54">#REF!</definedName>
    <definedName name="TextRefCopy55" localSheetId="0">#REF!</definedName>
    <definedName name="TextRefCopy55">#REF!</definedName>
    <definedName name="TextRefCopy56" localSheetId="0">#REF!</definedName>
    <definedName name="TextRefCopy56">#REF!</definedName>
    <definedName name="TextRefCopy57" localSheetId="0">#REF!</definedName>
    <definedName name="TextRefCopy57">#REF!</definedName>
    <definedName name="TextRefCopy58" localSheetId="0">#REF!</definedName>
    <definedName name="TextRefCopy58">#REF!</definedName>
    <definedName name="TextRefCopy59" localSheetId="0">#REF!</definedName>
    <definedName name="TextRefCopy59">#REF!</definedName>
    <definedName name="TextRefCopy6" localSheetId="0">'[33]GAAP TB 31.12.01  detail p&amp;l'!#REF!</definedName>
    <definedName name="TextRefCopy6">'[33]GAAP TB 31.12.01  detail p&amp;l'!#REF!</definedName>
    <definedName name="TextRefCopy60" localSheetId="0">#REF!</definedName>
    <definedName name="TextRefCopy60">#REF!</definedName>
    <definedName name="TextRefCopy61" localSheetId="0">#REF!</definedName>
    <definedName name="TextRefCopy61">#REF!</definedName>
    <definedName name="TextRefCopy62" localSheetId="0">#REF!</definedName>
    <definedName name="TextRefCopy62">#REF!</definedName>
    <definedName name="TextRefCopy63">'[40]PP&amp;E mvt for 2003'!$R$18</definedName>
    <definedName name="TextRefCopy64" localSheetId="0">#REF!</definedName>
    <definedName name="TextRefCopy64">#REF!</definedName>
    <definedName name="TextRefCopy65" localSheetId="0">#REF!</definedName>
    <definedName name="TextRefCopy65">#REF!</definedName>
    <definedName name="TextRefCopy66" localSheetId="0">#REF!</definedName>
    <definedName name="TextRefCopy66">#REF!</definedName>
    <definedName name="TextRefCopy67" localSheetId="0">#REF!</definedName>
    <definedName name="TextRefCopy67">#REF!</definedName>
    <definedName name="TextRefCopy68" localSheetId="0">#REF!</definedName>
    <definedName name="TextRefCopy68">#REF!</definedName>
    <definedName name="TextRefCopy69" localSheetId="0">#REF!</definedName>
    <definedName name="TextRefCopy69">#REF!</definedName>
    <definedName name="TextRefCopy7" localSheetId="0">'[33]GAAP TB 31.12.01  detail p&amp;l'!#REF!</definedName>
    <definedName name="TextRefCopy7">'[33]GAAP TB 31.12.01  detail p&amp;l'!#REF!</definedName>
    <definedName name="TextRefCopy70" localSheetId="0">#REF!</definedName>
    <definedName name="TextRefCopy70">#REF!</definedName>
    <definedName name="TextRefCopy71" localSheetId="0">#REF!</definedName>
    <definedName name="TextRefCopy71">#REF!</definedName>
    <definedName name="TextRefCopy74" localSheetId="0">[36]breakdown!#REF!</definedName>
    <definedName name="TextRefCopy74">[36]breakdown!#REF!</definedName>
    <definedName name="TextRefCopy75" localSheetId="0">#REF!</definedName>
    <definedName name="TextRefCopy75">#REF!</definedName>
    <definedName name="TextRefCopy76" localSheetId="0">[41]Movements!#REF!</definedName>
    <definedName name="TextRefCopy76">[41]Movements!#REF!</definedName>
    <definedName name="TextRefCopy77" localSheetId="0">#REF!</definedName>
    <definedName name="TextRefCopy77">#REF!</definedName>
    <definedName name="TextRefCopy78" localSheetId="0">#REF!</definedName>
    <definedName name="TextRefCopy78">#REF!</definedName>
    <definedName name="TextRefCopy79" localSheetId="0">#REF!</definedName>
    <definedName name="TextRefCopy79">#REF!</definedName>
    <definedName name="TextRefCopy8" localSheetId="0">'[33]GAAP TB 31.12.01  detail p&amp;l'!#REF!</definedName>
    <definedName name="TextRefCopy8">'[33]GAAP TB 31.12.01  detail p&amp;l'!#REF!</definedName>
    <definedName name="TextRefCopy80">[42]Datasheet!$G$16</definedName>
    <definedName name="TextRefCopy81" localSheetId="0">#REF!</definedName>
    <definedName name="TextRefCopy81">#REF!</definedName>
    <definedName name="TextRefCopy82" localSheetId="0">#REF!</definedName>
    <definedName name="TextRefCopy82">#REF!</definedName>
    <definedName name="TextRefCopy83" localSheetId="0">#REF!</definedName>
    <definedName name="TextRefCopy83">#REF!</definedName>
    <definedName name="TextRefCopy85" localSheetId="0">#REF!</definedName>
    <definedName name="TextRefCopy85">#REF!</definedName>
    <definedName name="TextRefCopy86" localSheetId="0">#REF!</definedName>
    <definedName name="TextRefCopy86">#REF!</definedName>
    <definedName name="TextRefCopy87" localSheetId="0">#REF!</definedName>
    <definedName name="TextRefCopy87">#REF!</definedName>
    <definedName name="TextRefCopy88">'[40]PP&amp;E mvt for 2003'!$P$19</definedName>
    <definedName name="TextRefCopy89">'[40]PP&amp;E mvt for 2003'!$P$46</definedName>
    <definedName name="TextRefCopy9" localSheetId="0">'[33]GAAP TB 31.12.01  detail p&amp;l'!#REF!</definedName>
    <definedName name="TextRefCopy9">'[33]GAAP TB 31.12.01  detail p&amp;l'!#REF!</definedName>
    <definedName name="TextRefCopy90">'[40]PP&amp;E mvt for 2003'!$P$25</definedName>
    <definedName name="TextRefCopy91" localSheetId="0">'[35]depreciation testing'!#REF!</definedName>
    <definedName name="TextRefCopy91">'[35]depreciation testing'!#REF!</definedName>
    <definedName name="TextRefCopy92">'[40]PP&amp;E mvt for 2003'!$P$26</definedName>
    <definedName name="TextRefCopy93" localSheetId="0">'[35]depreciation testing'!#REF!</definedName>
    <definedName name="TextRefCopy93">'[35]depreciation testing'!#REF!</definedName>
    <definedName name="TextRefCopy94">'[40]PP&amp;E mvt for 2003'!$P$52</definedName>
    <definedName name="TextRefCopy95">'[40]PP&amp;E mvt for 2003'!$P$53</definedName>
    <definedName name="TextRefCopy97" localSheetId="0">'[34]depreciation testing'!#REF!</definedName>
    <definedName name="TextRefCopy97">'[34]depreciation testing'!#REF!</definedName>
    <definedName name="TextRefCopy98" localSheetId="0">#REF!</definedName>
    <definedName name="TextRefCopy98">#REF!</definedName>
    <definedName name="TextRefCopy99" localSheetId="0">'[34]FA Movement '!#REF!</definedName>
    <definedName name="TextRefCopy99">'[34]FA Movement '!#REF!</definedName>
    <definedName name="TextRefCopyRangeCount" hidden="1">3</definedName>
    <definedName name="Threshold" localSheetId="0">#REF!</definedName>
    <definedName name="Threshold">#REF!</definedName>
    <definedName name="Total_Interest" localSheetId="0">#REF!</definedName>
    <definedName name="Total_Interest">#REF!</definedName>
    <definedName name="Total_Pay" localSheetId="0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ttt" localSheetId="0">'[25]GAAP TB 30.09.01  detail p&amp;l'!#REF!</definedName>
    <definedName name="ttt">'[25]GAAP TB 30.09.01  detail p&amp;l'!#REF!</definedName>
    <definedName name="UnitedStates" localSheetId="0">#REF!</definedName>
    <definedName name="UnitedStates">#REF!</definedName>
    <definedName name="usd_date" localSheetId="0">#REF!</definedName>
    <definedName name="usd_date">#REF!</definedName>
    <definedName name="v" localSheetId="0">#REF!</definedName>
    <definedName name="v">#REF!</definedName>
    <definedName name="values" localSheetId="0">#REF!,#REF!,#REF!</definedName>
    <definedName name="values">#REF!,#REF!,#REF!</definedName>
    <definedName name="Values_Entered" localSheetId="0">IF('дек19 (факт)'!Loan_Amount*'дек19 (факт)'!Interest_Rate*'дек19 (факт)'!Loan_Years*'дек19 (факт)'!Loan_Start&gt;0,1,0)</definedName>
    <definedName name="Values_Entered">IF(Loan_Amount*Interest_Rate*Loan_Years*Loan_Start&gt;0,1,0)</definedName>
    <definedName name="VAT" localSheetId="0">[32]Capex!#REF!</definedName>
    <definedName name="VAT">[32]Capex!#REF!</definedName>
    <definedName name="wrn.4._.п." localSheetId="0" hidden="1">{#N/A,#N/A,FALSE,"Sheet5";#N/A,#N/A,FALSE,"Sheet3";#N/A,#N/A,FALSE,"Sheet4";#N/A,#N/A,FALSE,"Sheet1"}</definedName>
    <definedName name="wrn.4._.п." hidden="1">{#N/A,#N/A,FALSE,"Sheet5";#N/A,#N/A,FALSE,"Sheet3";#N/A,#N/A,FALSE,"Sheet4";#N/A,#N/A,FALSE,"Sheet1"}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kumkol." localSheetId="0" hidden="1">{#N/A,#N/A,FALSE,"Сентябрь";#N/A,#N/A,FALSE,"Пояснительная сентябре 99"}</definedName>
    <definedName name="wrn.kumkol." hidden="1">{#N/A,#N/A,FALSE,"Сентябрь";#N/A,#N/A,FALSE,"Пояснительная сентябре 99"}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wrn.станд." localSheetId="0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wrn.станд." hidden="1">{#N/A,#N/A,FALSE,"30";#N/A,#N/A,FALSE,"29";#N/A,#N/A,FALSE,"28";#N/A,#N/A,FALSE,"27";#N/A,#N/A,FALSE,"26";#N/A,#N/A,FALSE,"25";#N/A,#N/A,FALSE,"24";#N/A,#N/A,FALSE,"23";#N/A,#N/A,FALSE,"22";#N/A,#N/A,FALSE,"21";#N/A,#N/A,FALSE,"20";#N/A,#N/A,FALSE,"19";#N/A,#N/A,FALSE,"18"}</definedName>
    <definedName name="x">'[43]Balance Sheet'!$F$5</definedName>
    <definedName name="XREF_COLUMN_1" hidden="1">'[44]8180 (8181,8182)'!$P$1:$P$65536</definedName>
    <definedName name="XREF_COLUMN_10" hidden="1">'[44]8082'!$P$1:$P$65536</definedName>
    <definedName name="XREF_COLUMN_2" localSheetId="0" hidden="1">#REF!</definedName>
    <definedName name="XREF_COLUMN_2" hidden="1">#REF!</definedName>
    <definedName name="XREF_COLUMN_3" hidden="1">'[44]8250'!$D$1:$D$65536</definedName>
    <definedName name="XREF_COLUMN_4" hidden="1">'[44]8140'!$P$1:$P$65536</definedName>
    <definedName name="XREF_COLUMN_5" localSheetId="0" hidden="1">#REF!</definedName>
    <definedName name="XREF_COLUMN_5" hidden="1">#REF!</definedName>
    <definedName name="XREF_COLUMN_6" hidden="1">'[44]8070'!$P$1:$P$65536</definedName>
    <definedName name="XREF_COLUMN_7" hidden="1">'[44]8145'!$P$1:$P$65536</definedName>
    <definedName name="XREF_COLUMN_8" hidden="1">'[44]8200'!$P$1:$P$65536</definedName>
    <definedName name="XREF_COLUMN_9" hidden="1">'[44]8113'!$P$1:$P$65536</definedName>
    <definedName name="XRefActiveRow" hidden="1">[44]XREF!$A$15</definedName>
    <definedName name="XRefColumnsCount" hidden="1">1</definedName>
    <definedName name="XRefCopy1" localSheetId="0" hidden="1">[45]summary!#REF!</definedName>
    <definedName name="XRefCopy1" hidden="1">[45]summary!#REF!</definedName>
    <definedName name="XRefCopy12" localSheetId="0" hidden="1">'[38]4'!#REF!</definedName>
    <definedName name="XRefCopy12" hidden="1">'[38]4'!#REF!</definedName>
    <definedName name="XRefCopy13" localSheetId="0" hidden="1">'[38]4'!#REF!</definedName>
    <definedName name="XRefCopy13" hidden="1">'[38]4'!#REF!</definedName>
    <definedName name="XRefCopy14" localSheetId="0" hidden="1">'[38]4'!#REF!</definedName>
    <definedName name="XRefCopy14" hidden="1">'[38]4'!#REF!</definedName>
    <definedName name="XRefCopy16" localSheetId="0" hidden="1">'[38]4'!#REF!</definedName>
    <definedName name="XRefCopy16" hidden="1">'[38]4'!#REF!</definedName>
    <definedName name="XRefCopy17" localSheetId="0" hidden="1">'[38]4'!#REF!</definedName>
    <definedName name="XRefCopy17" hidden="1">'[38]4'!#REF!</definedName>
    <definedName name="XRefCopy18" localSheetId="0" hidden="1">'[38]4'!#REF!</definedName>
    <definedName name="XRefCopy18" hidden="1">'[38]4'!#REF!</definedName>
    <definedName name="XRefCopy1Row" localSheetId="0" hidden="1">[45]XREF!#REF!</definedName>
    <definedName name="XRefCopy1Row" hidden="1">[45]XREF!#REF!</definedName>
    <definedName name="XRefCopy2" localSheetId="0" hidden="1">#REF!</definedName>
    <definedName name="XRefCopy2" hidden="1">#REF!</definedName>
    <definedName name="XRefCopy20Row" localSheetId="0" hidden="1">[10]XREF!#REF!</definedName>
    <definedName name="XRefCopy20Row" hidden="1">[10]XREF!#REF!</definedName>
    <definedName name="XRefCopy21Row" localSheetId="0" hidden="1">[10]XREF!#REF!</definedName>
    <definedName name="XRefCopy21Row" hidden="1">[10]XREF!#REF!</definedName>
    <definedName name="XRefCopy22Row" localSheetId="0" hidden="1">[10]XREF!#REF!</definedName>
    <definedName name="XRefCopy22Row" hidden="1">[10]XREF!#REF!</definedName>
    <definedName name="XRefCopy23Row" localSheetId="0" hidden="1">[10]XREF!#REF!</definedName>
    <definedName name="XRefCopy23Row" hidden="1">[10]XREF!#REF!</definedName>
    <definedName name="XRefCopy24Row" localSheetId="0" hidden="1">[10]XREF!#REF!</definedName>
    <definedName name="XRefCopy24Row" hidden="1">[10]XREF!#REF!</definedName>
    <definedName name="XRefCopy26Row" localSheetId="0" hidden="1">[10]XREF!#REF!</definedName>
    <definedName name="XRefCopy26Row" hidden="1">[10]XREF!#REF!</definedName>
    <definedName name="XRefCopy27Row" localSheetId="0" hidden="1">[10]XREF!#REF!</definedName>
    <definedName name="XRefCopy27Row" hidden="1">[10]XREF!#REF!</definedName>
    <definedName name="XRefCopy28Row" localSheetId="0" hidden="1">[10]XREF!#REF!</definedName>
    <definedName name="XRefCopy28Row" hidden="1">[10]XREF!#REF!</definedName>
    <definedName name="XRefCopy29Row" localSheetId="0" hidden="1">[10]XREF!#REF!</definedName>
    <definedName name="XRefCopy29Row" hidden="1">[10]XREF!#REF!</definedName>
    <definedName name="XRefCopy2Row" localSheetId="0" hidden="1">#REF!</definedName>
    <definedName name="XRefCopy2Row" hidden="1">#REF!</definedName>
    <definedName name="XRefCopy30Row" localSheetId="0" hidden="1">[10]XREF!#REF!</definedName>
    <definedName name="XRefCopy30Row" hidden="1">[10]XREF!#REF!</definedName>
    <definedName name="XRefCopy31Row" localSheetId="0" hidden="1">[10]XREF!#REF!</definedName>
    <definedName name="XRefCopy31Row" hidden="1">[10]XREF!#REF!</definedName>
    <definedName name="XRefCopy32Row" localSheetId="0" hidden="1">[10]XREF!#REF!</definedName>
    <definedName name="XRefCopy32Row" hidden="1">[10]XREF!#REF!</definedName>
    <definedName name="XRefCopy33Row" localSheetId="0" hidden="1">[10]XREF!#REF!</definedName>
    <definedName name="XRefCopy33Row" hidden="1">[10]XREF!#REF!</definedName>
    <definedName name="XRefCopy35Row" localSheetId="0" hidden="1">[10]XREF!#REF!</definedName>
    <definedName name="XRefCopy35Row" hidden="1">[10]XREF!#REF!</definedName>
    <definedName name="XRefCopy36Row" localSheetId="0" hidden="1">[10]XREF!#REF!</definedName>
    <definedName name="XRefCopy36Row" hidden="1">[10]XREF!#REF!</definedName>
    <definedName name="XRefCopy37Row" localSheetId="0" hidden="1">[10]XREF!#REF!</definedName>
    <definedName name="XRefCopy37Row" hidden="1">[10]XREF!#REF!</definedName>
    <definedName name="XRefCopy38Row" localSheetId="0" hidden="1">[10]XREF!#REF!</definedName>
    <definedName name="XRefCopy38Row" hidden="1">[10]XREF!#REF!</definedName>
    <definedName name="XRefCopy39Row" localSheetId="0" hidden="1">[10]XREF!#REF!</definedName>
    <definedName name="XRefCopy39Row" hidden="1">[10]XREF!#REF!</definedName>
    <definedName name="XRefCopy4" localSheetId="0" hidden="1">[45]summary!#REF!</definedName>
    <definedName name="XRefCopy4" hidden="1">[45]summary!#REF!</definedName>
    <definedName name="XRefCopy40Row" localSheetId="0" hidden="1">[10]XREF!#REF!</definedName>
    <definedName name="XRefCopy40Row" hidden="1">[10]XREF!#REF!</definedName>
    <definedName name="XRefCopy41Row" localSheetId="0" hidden="1">[10]XREF!#REF!</definedName>
    <definedName name="XRefCopy41Row" hidden="1">[10]XREF!#REF!</definedName>
    <definedName name="XRefCopy42Row" localSheetId="0" hidden="1">[10]XREF!#REF!</definedName>
    <definedName name="XRefCopy42Row" hidden="1">[10]XREF!#REF!</definedName>
    <definedName name="XRefCopy5Row" localSheetId="0" hidden="1">[46]XREF!#REF!</definedName>
    <definedName name="XRefCopy5Row" hidden="1">[46]XREF!#REF!</definedName>
    <definedName name="XRefCopy80Row" localSheetId="0" hidden="1">[10]XREF!#REF!</definedName>
    <definedName name="XRefCopy80Row" hidden="1">[10]XREF!#REF!</definedName>
    <definedName name="XRefCopyRangeCount" hidden="1">8</definedName>
    <definedName name="XRefPaste1" localSheetId="0" hidden="1">'[38]1-1'!#REF!</definedName>
    <definedName name="XRefPaste1" hidden="1">'[38]1-1'!#REF!</definedName>
    <definedName name="XRefPaste10" hidden="1">'[44]8145'!$O$17</definedName>
    <definedName name="XRefPaste10Row" hidden="1">[44]XREF!$A$11:$IV$11</definedName>
    <definedName name="XRefPaste11" hidden="1">'[44]8200'!$O$17</definedName>
    <definedName name="XRefPaste11Row" hidden="1">[44]XREF!$A$12:$IV$12</definedName>
    <definedName name="XRefPaste12" hidden="1">'[44]8113'!$O$16</definedName>
    <definedName name="XRefPaste12Row" hidden="1">[44]XREF!$A$13:$IV$13</definedName>
    <definedName name="XRefPaste13" hidden="1">'[44]8082'!$O$16</definedName>
    <definedName name="XRefPaste13Row" hidden="1">[44]XREF!$A$14:$IV$14</definedName>
    <definedName name="XRefPaste18" localSheetId="0" hidden="1">'[38]4'!#REF!</definedName>
    <definedName name="XRefPaste18" hidden="1">'[38]4'!#REF!</definedName>
    <definedName name="XRefPaste1Row" localSheetId="0" hidden="1">#REF!</definedName>
    <definedName name="XRefPaste1Row" hidden="1">#REF!</definedName>
    <definedName name="XRefPaste2" localSheetId="0" hidden="1">'[38]1'!#REF!</definedName>
    <definedName name="XRefPaste2" hidden="1">'[38]1'!#REF!</definedName>
    <definedName name="XRefPaste21Row" localSheetId="0" hidden="1">[10]XREF!#REF!</definedName>
    <definedName name="XRefPaste21Row" hidden="1">[10]XREF!#REF!</definedName>
    <definedName name="XRefPaste22Row" localSheetId="0" hidden="1">[10]XREF!#REF!</definedName>
    <definedName name="XRefPaste22Row" hidden="1">[10]XREF!#REF!</definedName>
    <definedName name="XRefPaste23Row" localSheetId="0" hidden="1">[10]XREF!#REF!</definedName>
    <definedName name="XRefPaste23Row" hidden="1">[10]XREF!#REF!</definedName>
    <definedName name="XRefPaste24Row" localSheetId="0" hidden="1">[10]XREF!#REF!</definedName>
    <definedName name="XRefPaste24Row" hidden="1">[10]XREF!#REF!</definedName>
    <definedName name="XRefPaste25Row" localSheetId="0" hidden="1">[10]XREF!#REF!</definedName>
    <definedName name="XRefPaste25Row" hidden="1">[10]XREF!#REF!</definedName>
    <definedName name="XRefPaste26Row" localSheetId="0" hidden="1">[10]XREF!#REF!</definedName>
    <definedName name="XRefPaste26Row" hidden="1">[10]XREF!#REF!</definedName>
    <definedName name="XRefPaste27Row" localSheetId="0" hidden="1">[10]XREF!#REF!</definedName>
    <definedName name="XRefPaste27Row" hidden="1">[10]XREF!#REF!</definedName>
    <definedName name="XRefPaste28Row" localSheetId="0" hidden="1">[10]XREF!#REF!</definedName>
    <definedName name="XRefPaste28Row" hidden="1">[10]XREF!#REF!</definedName>
    <definedName name="XRefPaste29Row" localSheetId="0" hidden="1">[10]XREF!#REF!</definedName>
    <definedName name="XRefPaste29Row" hidden="1">[10]XREF!#REF!</definedName>
    <definedName name="XRefPaste2Row" hidden="1">[44]XREF!$A$3:$IV$3</definedName>
    <definedName name="XRefPaste3" hidden="1">'[44]8180 (8181,8182)'!$O$20</definedName>
    <definedName name="XRefPaste30Row" localSheetId="0" hidden="1">[10]XREF!#REF!</definedName>
    <definedName name="XRefPaste30Row" hidden="1">[10]XREF!#REF!</definedName>
    <definedName name="XRefPaste31Row" localSheetId="0" hidden="1">[10]XREF!#REF!</definedName>
    <definedName name="XRefPaste31Row" hidden="1">[10]XREF!#REF!</definedName>
    <definedName name="XRefPaste32Row" localSheetId="0" hidden="1">[10]XREF!#REF!</definedName>
    <definedName name="XRefPaste32Row" hidden="1">[10]XREF!#REF!</definedName>
    <definedName name="XRefPaste33Row" localSheetId="0" hidden="1">[10]XREF!#REF!</definedName>
    <definedName name="XRefPaste33Row" hidden="1">[10]XREF!#REF!</definedName>
    <definedName name="XRefPaste34Row" localSheetId="0" hidden="1">[10]XREF!#REF!</definedName>
    <definedName name="XRefPaste34Row" hidden="1">[10]XREF!#REF!</definedName>
    <definedName name="XRefPaste35Row" localSheetId="0" hidden="1">[10]XREF!#REF!</definedName>
    <definedName name="XRefPaste35Row" hidden="1">[10]XREF!#REF!</definedName>
    <definedName name="XRefPaste36Row" localSheetId="0" hidden="1">[10]XREF!#REF!</definedName>
    <definedName name="XRefPaste36Row" hidden="1">[10]XREF!#REF!</definedName>
    <definedName name="XRefPaste37Row" localSheetId="0" hidden="1">[10]XREF!#REF!</definedName>
    <definedName name="XRefPaste37Row" hidden="1">[10]XREF!#REF!</definedName>
    <definedName name="XRefPaste38Row" localSheetId="0" hidden="1">[10]XREF!#REF!</definedName>
    <definedName name="XRefPaste38Row" hidden="1">[10]XREF!#REF!</definedName>
    <definedName name="XRefPaste39Row" localSheetId="0" hidden="1">[10]XREF!#REF!</definedName>
    <definedName name="XRefPaste39Row" hidden="1">[10]XREF!#REF!</definedName>
    <definedName name="XRefPaste3Row" hidden="1">[44]XREF!$A$4:$IV$4</definedName>
    <definedName name="XRefPaste4" hidden="1">'[44]8210'!$O$18</definedName>
    <definedName name="XRefPaste40Row" localSheetId="0" hidden="1">[10]XREF!#REF!</definedName>
    <definedName name="XRefPaste40Row" hidden="1">[10]XREF!#REF!</definedName>
    <definedName name="XRefPaste41Row" localSheetId="0" hidden="1">[10]XREF!#REF!</definedName>
    <definedName name="XRefPaste41Row" hidden="1">[10]XREF!#REF!</definedName>
    <definedName name="XRefPaste42Row" localSheetId="0" hidden="1">[10]XREF!#REF!</definedName>
    <definedName name="XRefPaste42Row" hidden="1">[10]XREF!#REF!</definedName>
    <definedName name="XRefPaste43Row" localSheetId="0" hidden="1">[10]XREF!#REF!</definedName>
    <definedName name="XRefPaste43Row" hidden="1">[10]XREF!#REF!</definedName>
    <definedName name="XRefPaste44Row" localSheetId="0" hidden="1">[10]XREF!#REF!</definedName>
    <definedName name="XRefPaste44Row" hidden="1">[10]XREF!#REF!</definedName>
    <definedName name="XRefPaste45Row" localSheetId="0" hidden="1">[10]XREF!#REF!</definedName>
    <definedName name="XRefPaste45Row" hidden="1">[10]XREF!#REF!</definedName>
    <definedName name="XRefPaste46Row" localSheetId="0" hidden="1">[10]XREF!#REF!</definedName>
    <definedName name="XRefPaste46Row" hidden="1">[10]XREF!#REF!</definedName>
    <definedName name="XRefPaste47Row" localSheetId="0" hidden="1">[10]XREF!#REF!</definedName>
    <definedName name="XRefPaste47Row" hidden="1">[10]XREF!#REF!</definedName>
    <definedName name="XRefPaste48Row" localSheetId="0" hidden="1">[10]XREF!#REF!</definedName>
    <definedName name="XRefPaste48Row" hidden="1">[10]XREF!#REF!</definedName>
    <definedName name="XRefPaste49Row" localSheetId="0" hidden="1">[10]XREF!#REF!</definedName>
    <definedName name="XRefPaste49Row" hidden="1">[10]XREF!#REF!</definedName>
    <definedName name="XRefPaste4Row" hidden="1">[44]XREF!$A$5:$IV$5</definedName>
    <definedName name="XRefPaste5" hidden="1">'[44]8250'!$C$44</definedName>
    <definedName name="XRefPaste50Row" localSheetId="0" hidden="1">[10]XREF!#REF!</definedName>
    <definedName name="XRefPaste50Row" hidden="1">[10]XREF!#REF!</definedName>
    <definedName name="XRefPaste51Row" localSheetId="0" hidden="1">[10]XREF!#REF!</definedName>
    <definedName name="XRefPaste51Row" hidden="1">[10]XREF!#REF!</definedName>
    <definedName name="XRefPaste5Row" hidden="1">[44]XREF!$A$6:$IV$6</definedName>
    <definedName name="XRefPaste6" hidden="1">'[44]8140'!$O$16</definedName>
    <definedName name="XRefPaste6Row" hidden="1">[44]XREF!$A$7:$IV$7</definedName>
    <definedName name="XRefPaste7" localSheetId="0" hidden="1">#REF!</definedName>
    <definedName name="XRefPaste7" hidden="1">#REF!</definedName>
    <definedName name="XRefPaste7Row" hidden="1">[44]XREF!$A$8:$IV$8</definedName>
    <definedName name="XRefPaste8" localSheetId="0" hidden="1">#REF!</definedName>
    <definedName name="XRefPaste8" hidden="1">#REF!</definedName>
    <definedName name="XRefPaste8Row" hidden="1">[44]XREF!$A$9:$IV$9</definedName>
    <definedName name="XRefPaste9" hidden="1">'[44]8070'!$O$18</definedName>
    <definedName name="XRefPaste9Row" hidden="1">[44]XREF!$A$10:$IV$10</definedName>
    <definedName name="XRefPasteRangeCount" hidden="1">1</definedName>
    <definedName name="year" localSheetId="0">#REF!</definedName>
    <definedName name="year">#REF!</definedName>
    <definedName name="Yemen" localSheetId="0">#REF!</definedName>
    <definedName name="Yemen">#REF!</definedName>
    <definedName name="Yemen1" localSheetId="0">#REF!</definedName>
    <definedName name="Yemen1">#REF!</definedName>
    <definedName name="yui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yui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Z_C37E65A7_9893_435E_9759_72E0D8A5DD87_.wvu.PrintTitles" localSheetId="0" hidden="1">#REF!</definedName>
    <definedName name="Z_C37E65A7_9893_435E_9759_72E0D8A5DD87_.wvu.PrintTitles" hidden="1">#REF!</definedName>
    <definedName name="zheldor" localSheetId="0">#REF!</definedName>
    <definedName name="zheldor">#REF!</definedName>
    <definedName name="zheldorizdat" localSheetId="0">#REF!</definedName>
    <definedName name="zheldorizdat">#REF!</definedName>
    <definedName name="а" localSheetId="0">#REF!</definedName>
    <definedName name="а">#REF!</definedName>
    <definedName name="А2" localSheetId="0">#REF!</definedName>
    <definedName name="А2">#REF!</definedName>
    <definedName name="А2_13" localSheetId="0">#REF!</definedName>
    <definedName name="А2_13">#REF!</definedName>
    <definedName name="А2_16" localSheetId="0">#REF!</definedName>
    <definedName name="А2_16">#REF!</definedName>
    <definedName name="А2_17" localSheetId="0">#REF!</definedName>
    <definedName name="А2_17">#REF!</definedName>
    <definedName name="А2_18" localSheetId="0">#REF!</definedName>
    <definedName name="А2_18">#REF!</definedName>
    <definedName name="а25000" localSheetId="0">#REF!</definedName>
    <definedName name="а25000">#REF!</definedName>
    <definedName name="АААААААА" localSheetId="0">[9]!АААААААА</definedName>
    <definedName name="АААААААА">[9]!АААААААА</definedName>
    <definedName name="АААААААА_11" localSheetId="0">'дек19 (факт)'!АААААААА_11</definedName>
    <definedName name="АААААААА_11">#N/A</definedName>
    <definedName name="АААААААА_12" localSheetId="0">'дек19 (факт)'!АААААААА_12</definedName>
    <definedName name="АААААААА_12">#N/A</definedName>
    <definedName name="АААААААА_13" localSheetId="0">'дек19 (факт)'!АААААААА_13</definedName>
    <definedName name="АААААААА_13">#N/A</definedName>
    <definedName name="АААААААА_14" localSheetId="0">'дек19 (факт)'!АААААААА_14</definedName>
    <definedName name="АААААААА_14">#N/A</definedName>
    <definedName name="АААААААА_16" localSheetId="0">'дек19 (факт)'!АААААААА_16</definedName>
    <definedName name="АААААААА_16">#N/A</definedName>
    <definedName name="АААААААА_17" localSheetId="0">'дек19 (факт)'!АААААААА_17</definedName>
    <definedName name="АААААААА_17">#N/A</definedName>
    <definedName name="АААААААА_18" localSheetId="0">'дек19 (факт)'!АААААААА_18</definedName>
    <definedName name="АААААААА_18">#N/A</definedName>
    <definedName name="АААААААА_19" localSheetId="0">'дек19 (факт)'!АААААААА_19</definedName>
    <definedName name="АААААААА_19">#N/A</definedName>
    <definedName name="авпрар" localSheetId="0">#REF!</definedName>
    <definedName name="авпрар">#REF!</definedName>
    <definedName name="альфа" localSheetId="0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льфа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м" localSheetId="0">[9]!ам</definedName>
    <definedName name="ам">[9]!ам</definedName>
    <definedName name="андрей" localSheetId="0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ндрей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п" localSheetId="0">[9]!ап</definedName>
    <definedName name="ап">[9]!ап</definedName>
    <definedName name="ап_11" localSheetId="0">'дек19 (факт)'!ап_11</definedName>
    <definedName name="ап_11">#N/A</definedName>
    <definedName name="ап_12" localSheetId="0">'дек19 (факт)'!ап_12</definedName>
    <definedName name="ап_12">#N/A</definedName>
    <definedName name="ап_13" localSheetId="0">'дек19 (факт)'!ап_13</definedName>
    <definedName name="ап_13">#N/A</definedName>
    <definedName name="ап_14" localSheetId="0">'дек19 (факт)'!ап_14</definedName>
    <definedName name="ап_14">#N/A</definedName>
    <definedName name="ап_16" localSheetId="0">'дек19 (факт)'!ап_16</definedName>
    <definedName name="ап_16">#N/A</definedName>
    <definedName name="ап_17" localSheetId="0">'дек19 (факт)'!ап_17</definedName>
    <definedName name="ап_17">#N/A</definedName>
    <definedName name="ап_18" localSheetId="0">'дек19 (факт)'!ап_18</definedName>
    <definedName name="ап_18">#N/A</definedName>
    <definedName name="ап_19" localSheetId="0">'дек19 (факт)'!ап_19</definedName>
    <definedName name="ап_19">#N/A</definedName>
    <definedName name="апа">#N/A</definedName>
    <definedName name="апвавваапвваав" localSheetId="0" hidden="1">{#N/A,#N/A,TRUE,"Лист1";#N/A,#N/A,TRUE,"Лист2";#N/A,#N/A,TRUE,"Лист3"}</definedName>
    <definedName name="апвавваапвваав" hidden="1">{#N/A,#N/A,TRUE,"Лист1";#N/A,#N/A,TRUE,"Лист2";#N/A,#N/A,TRUE,"Лист3"}</definedName>
    <definedName name="апвп">[29]Форма2!$C$19:$C$24,[29]Форма2!$E$19:$F$24,[29]Форма2!$D$26:$F$31,[29]Форма2!$C$33:$C$38,[29]Форма2!$E$33:$F$38,[29]Форма2!$D$40:$F$43,[29]Форма2!$C$45:$C$48,[29]Форма2!$E$45:$F$48,[29]Форма2!$C$19</definedName>
    <definedName name="апп" localSheetId="0">[9]!апп</definedName>
    <definedName name="апп">[9]!апп</definedName>
    <definedName name="аристон" localSheetId="0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ристон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ас" localSheetId="0">[9]!ас</definedName>
    <definedName name="ас">[9]!ас</definedName>
    <definedName name="_xlnm.Database" localSheetId="0">#REF!</definedName>
    <definedName name="_xlnm.Database">#REF!</definedName>
    <definedName name="баланс" localSheetId="0">[9]!баланс</definedName>
    <definedName name="баланс">[9]!баланс</definedName>
    <definedName name="Бери">[47]Форма2!$D$129:$F$132,[47]Форма2!$D$134:$F$135,[47]Форма2!$D$137:$F$140,[47]Форма2!$D$142:$F$144,[47]Форма2!$D$146:$F$150,[47]Форма2!$D$152:$F$154,[47]Форма2!$D$156:$F$162,[47]Форма2!$D$129</definedName>
    <definedName name="Берик">[47]Форма2!$C$70:$C$72,[47]Форма2!$D$73:$F$73,[47]Форма2!$E$70:$F$72,[47]Форма2!$C$75:$C$77,[47]Форма2!$E$75:$F$77,[47]Форма2!$C$79:$C$82,[47]Форма2!$E$79:$F$82,[47]Форма2!$C$84:$C$86,[47]Форма2!$E$84:$F$86,[47]Форма2!$C$88:$C$89,[47]Форма2!$E$88:$F$89,[47]Форма2!$C$70</definedName>
    <definedName name="биржа">[48]База!$A$1:$T$65536</definedName>
    <definedName name="биржа1">[48]База!$B$1:$T$65536</definedName>
    <definedName name="БЛРаздел1">[49]Форма2!$C$19:$C$24,[49]Форма2!$E$19:$F$24,[49]Форма2!$D$26:$F$31,[49]Форма2!$C$33:$C$38,[49]Форма2!$E$33:$F$38,[49]Форма2!$D$40:$F$43,[49]Форма2!$C$45:$C$48,[49]Форма2!$E$45:$F$48,[49]Форма2!$C$19</definedName>
    <definedName name="БЛРаздел1_13">[50]Форма2!$C$19:$C$24,[50]Форма2!$E$19:$F$24,[50]Форма2!$D$26:$F$31,[50]Форма2!$C$33:$C$38,[50]Форма2!$E$33:$F$38,[50]Форма2!$D$40:$F$43,[50]Форма2!$C$45:$C$48,[50]Форма2!$E$45:$F$48,[50]Форма2!$C$19</definedName>
    <definedName name="БЛРаздел1_16">[50]Форма2!$C$19:$C$24,[50]Форма2!$E$19:$F$24,[50]Форма2!$D$26:$F$31,[50]Форма2!$C$33:$C$38,[50]Форма2!$E$33:$F$38,[50]Форма2!$D$40:$F$43,[50]Форма2!$C$45:$C$48,[50]Форма2!$E$45:$F$48,[50]Форма2!$C$19</definedName>
    <definedName name="БЛРаздел1_17">[51]Форма2!$C$19:$C$24,[51]Форма2!$E$19:$F$24,[51]Форма2!$D$26:$F$31,[51]Форма2!$C$33:$C$38,[51]Форма2!$E$33:$F$38,[51]Форма2!$D$40:$F$43,[51]Форма2!$C$45:$C$48,[51]Форма2!$E$45:$F$48,[51]Форма2!$C$19</definedName>
    <definedName name="БЛРаздел1_18">[50]Форма2!$C$19:$C$24,[50]Форма2!$E$19:$F$24,[50]Форма2!$D$26:$F$31,[50]Форма2!$C$33:$C$38,[50]Форма2!$E$33:$F$38,[50]Форма2!$D$40:$F$43,[50]Форма2!$C$45:$C$48,[50]Форма2!$E$45:$F$48,[50]Форма2!$C$19</definedName>
    <definedName name="БЛРаздел2">[49]Форма2!$C$51:$C$58,[49]Форма2!$E$51:$F$58,[49]Форма2!$C$60:$C$63,[49]Форма2!$E$60:$F$63,[49]Форма2!$C$65:$C$67,[49]Форма2!$E$65:$F$67,[49]Форма2!$C$51</definedName>
    <definedName name="БЛРаздел2_13">[50]Форма2!$C$51:$C$58,[50]Форма2!$E$51:$F$58,[50]Форма2!$C$60:$C$63,[50]Форма2!$E$60:$F$63,[50]Форма2!$C$65:$C$67,[50]Форма2!$E$65:$F$67,[50]Форма2!$C$51</definedName>
    <definedName name="БЛРаздел2_16">[50]Форма2!$C$51:$C$58,[50]Форма2!$E$51:$F$58,[50]Форма2!$C$60:$C$63,[50]Форма2!$E$60:$F$63,[50]Форма2!$C$65:$C$67,[50]Форма2!$E$65:$F$67,[50]Форма2!$C$51</definedName>
    <definedName name="БЛРаздел2_17">[51]Форма2!$C$51:$C$58,[51]Форма2!$E$51:$F$58,[51]Форма2!$C$60:$C$63,[51]Форма2!$E$60:$F$63,[51]Форма2!$C$65:$C$67,[51]Форма2!$E$65:$F$67,[51]Форма2!$C$51</definedName>
    <definedName name="БЛРаздел2_18">[50]Форма2!$C$51:$C$58,[50]Форма2!$E$51:$F$58,[50]Форма2!$C$60:$C$63,[50]Форма2!$E$60:$F$63,[50]Форма2!$C$65:$C$67,[50]Форма2!$E$65:$F$67,[50]Форма2!$C$51</definedName>
    <definedName name="БЛРаздел3">[49]Форма2!$C$70:$C$72,[49]Форма2!$D$73:$F$73,[49]Форма2!$E$70:$F$72,[49]Форма2!$C$75:$C$77,[49]Форма2!$E$75:$F$77,[49]Форма2!$C$79:$C$82,[49]Форма2!$E$79:$F$82,[49]Форма2!$C$84:$C$86,[49]Форма2!$E$84:$F$86,[49]Форма2!$C$88:$C$89,[49]Форма2!$E$88:$F$89,[49]Форма2!$C$70</definedName>
    <definedName name="БЛРаздел3_13">[50]Форма2!$C$70:$C$72,[50]Форма2!$D$73:$F$73,[50]Форма2!$E$70:$F$72,[50]Форма2!$C$75:$C$77,[50]Форма2!$E$75:$F$77,[50]Форма2!$C$79:$C$82,[50]Форма2!$E$79:$F$82,[50]Форма2!$C$84:$C$86,[50]Форма2!$E$84:$F$86,[50]Форма2!$C$88:$C$89,[50]Форма2!$E$88:$F$89,[50]Форма2!$C$70</definedName>
    <definedName name="БЛРаздел3_16">[50]Форма2!$C$70:$C$72,[50]Форма2!$D$73:$F$73,[50]Форма2!$E$70:$F$72,[50]Форма2!$C$75:$C$77,[50]Форма2!$E$75:$F$77,[50]Форма2!$C$79:$C$82,[50]Форма2!$E$79:$F$82,[50]Форма2!$C$84:$C$86,[50]Форма2!$E$84:$F$86,[50]Форма2!$C$88:$C$89,[50]Форма2!$E$88:$F$89,[50]Форма2!$C$70</definedName>
    <definedName name="БЛРаздел3_17">[51]Форма2!$C$70:$C$72,[51]Форма2!$D$73:$F$73,[51]Форма2!$E$70:$F$72,[51]Форма2!$C$75:$C$77,[51]Форма2!$E$75:$F$77,[51]Форма2!$C$79:$C$82,[51]Форма2!$E$79:$F$82,[51]Форма2!$C$84:$C$86,[51]Форма2!$E$84:$F$86,[51]Форма2!$C$88:$C$89,[51]Форма2!$E$88:$F$89,[51]Форма2!$C$70</definedName>
    <definedName name="БЛРаздел3_18">[50]Форма2!$C$70:$C$72,[50]Форма2!$D$73:$F$73,[50]Форма2!$E$70:$F$72,[50]Форма2!$C$75:$C$77,[50]Форма2!$E$75:$F$77,[50]Форма2!$C$79:$C$82,[50]Форма2!$E$79:$F$82,[50]Форма2!$C$84:$C$86,[50]Форма2!$E$84:$F$86,[50]Форма2!$C$88:$C$89,[50]Форма2!$E$88:$F$89,[50]Форма2!$C$70</definedName>
    <definedName name="БЛРаздел4">[49]Форма2!$E$106:$F$107,[49]Форма2!$C$106:$C$107,[49]Форма2!$E$102:$F$104,[49]Форма2!$C$102:$C$104,[49]Форма2!$C$97:$C$100,[49]Форма2!$E$97:$F$100,[49]Форма2!$E$92:$F$95,[49]Форма2!$C$92:$C$95,[49]Форма2!$C$92</definedName>
    <definedName name="БЛРаздел4_13">[50]Форма2!$E$106:$F$107,[50]Форма2!$C$106:$C$107,[50]Форма2!$E$102:$F$104,[50]Форма2!$C$102:$C$104,[50]Форма2!$C$97:$C$100,[50]Форма2!$E$97:$F$100,[50]Форма2!$E$92:$F$95,[50]Форма2!$C$92:$C$95,[50]Форма2!$C$92</definedName>
    <definedName name="БЛРаздел4_16">[50]Форма2!$E$106:$F$107,[50]Форма2!$C$106:$C$107,[50]Форма2!$E$102:$F$104,[50]Форма2!$C$102:$C$104,[50]Форма2!$C$97:$C$100,[50]Форма2!$E$97:$F$100,[50]Форма2!$E$92:$F$95,[50]Форма2!$C$92:$C$95,[50]Форма2!$C$92</definedName>
    <definedName name="БЛРаздел4_17">[51]Форма2!$E$106:$F$107,[51]Форма2!$C$106:$C$107,[51]Форма2!$E$102:$F$104,[51]Форма2!$C$102:$C$104,[51]Форма2!$C$97:$C$100,[51]Форма2!$E$97:$F$100,[51]Форма2!$E$92:$F$95,[51]Форма2!$C$92:$C$95,[51]Форма2!$C$92</definedName>
    <definedName name="БЛРаздел4_18">[50]Форма2!$E$106:$F$107,[50]Форма2!$C$106:$C$107,[50]Форма2!$E$102:$F$104,[50]Форма2!$C$102:$C$104,[50]Форма2!$C$97:$C$100,[50]Форма2!$E$97:$F$100,[50]Форма2!$E$92:$F$95,[50]Форма2!$C$92:$C$95,[50]Форма2!$C$92</definedName>
    <definedName name="БЛРаздел5">[49]Форма2!$C$113:$C$114,[49]Форма2!$D$110:$F$112,[49]Форма2!$E$113:$F$114,[49]Форма2!$D$115:$F$115,[49]Форма2!$D$117:$F$119,[49]Форма2!$D$121:$F$122,[49]Форма2!$D$124:$F$126,[49]Форма2!$D$110</definedName>
    <definedName name="БЛРаздел5_13">[50]Форма2!$C$113:$C$114,[50]Форма2!$D$110:$F$112,[50]Форма2!$E$113:$F$114,[50]Форма2!$D$115:$F$115,[50]Форма2!$D$117:$F$119,[50]Форма2!$D$121:$F$122,[50]Форма2!$D$124:$F$126,[50]Форма2!$D$110</definedName>
    <definedName name="БЛРаздел5_16">[50]Форма2!$C$113:$C$114,[50]Форма2!$D$110:$F$112,[50]Форма2!$E$113:$F$114,[50]Форма2!$D$115:$F$115,[50]Форма2!$D$117:$F$119,[50]Форма2!$D$121:$F$122,[50]Форма2!$D$124:$F$126,[50]Форма2!$D$110</definedName>
    <definedName name="БЛРаздел5_17">[51]Форма2!$C$113:$C$114,[51]Форма2!$D$110:$F$112,[51]Форма2!$E$113:$F$114,[51]Форма2!$D$115:$F$115,[51]Форма2!$D$117:$F$119,[51]Форма2!$D$121:$F$122,[51]Форма2!$D$124:$F$126,[51]Форма2!$D$110</definedName>
    <definedName name="БЛРаздел5_18">[50]Форма2!$C$113:$C$114,[50]Форма2!$D$110:$F$112,[50]Форма2!$E$113:$F$114,[50]Форма2!$D$115:$F$115,[50]Форма2!$D$117:$F$119,[50]Форма2!$D$121:$F$122,[50]Форма2!$D$124:$F$126,[50]Форма2!$D$110</definedName>
    <definedName name="БЛРаздел6">[49]Форма2!$D$129:$F$132,[49]Форма2!$D$134:$F$135,[49]Форма2!$D$137:$F$140,[49]Форма2!$D$142:$F$144,[49]Форма2!$D$146:$F$150,[49]Форма2!$D$152:$F$154,[49]Форма2!$D$156:$F$162,[49]Форма2!$D$129</definedName>
    <definedName name="БЛРаздел6_13">[50]Форма2!$D$129:$F$132,[50]Форма2!$D$134:$F$135,[50]Форма2!$D$137:$F$140,[50]Форма2!$D$142:$F$144,[50]Форма2!$D$146:$F$150,[50]Форма2!$D$152:$F$154,[50]Форма2!$D$156:$F$162,[50]Форма2!$D$129</definedName>
    <definedName name="БЛРаздел6_16">[50]Форма2!$D$129:$F$132,[50]Форма2!$D$134:$F$135,[50]Форма2!$D$137:$F$140,[50]Форма2!$D$142:$F$144,[50]Форма2!$D$146:$F$150,[50]Форма2!$D$152:$F$154,[50]Форма2!$D$156:$F$162,[50]Форма2!$D$129</definedName>
    <definedName name="БЛРаздел6_17">[51]Форма2!$D$129:$F$132,[51]Форма2!$D$134:$F$135,[51]Форма2!$D$137:$F$140,[51]Форма2!$D$142:$F$144,[51]Форма2!$D$146:$F$150,[51]Форма2!$D$152:$F$154,[51]Форма2!$D$156:$F$162,[51]Форма2!$D$129</definedName>
    <definedName name="БЛРаздел6_18">[50]Форма2!$D$129:$F$132,[50]Форма2!$D$134:$F$135,[50]Форма2!$D$137:$F$140,[50]Форма2!$D$142:$F$144,[50]Форма2!$D$146:$F$150,[50]Форма2!$D$152:$F$154,[50]Форма2!$D$156:$F$162,[50]Форма2!$D$129</definedName>
    <definedName name="БЛРаздел7">[49]Форма2!$D$179:$F$185,[49]Форма2!$D$175:$F$177,[49]Форма2!$D$165:$F$173,[49]Форма2!$D$165</definedName>
    <definedName name="БЛРаздел7_13">[50]Форма2!$D$179:$F$185,[50]Форма2!$D$175:$F$177,[50]Форма2!$D$165:$F$173,[50]Форма2!$D$165</definedName>
    <definedName name="БЛРаздел7_16">[50]Форма2!$D$179:$F$185,[50]Форма2!$D$175:$F$177,[50]Форма2!$D$165:$F$173,[50]Форма2!$D$165</definedName>
    <definedName name="БЛРаздел7_17">[51]Форма2!$D$179:$F$185,[51]Форма2!$D$175:$F$177,[51]Форма2!$D$165:$F$173,[51]Форма2!$D$165</definedName>
    <definedName name="БЛРаздел7_18">[50]Форма2!$D$179:$F$185,[50]Форма2!$D$175:$F$177,[50]Форма2!$D$165:$F$173,[50]Форма2!$D$165</definedName>
    <definedName name="БЛРаздел8">[49]Форма2!$E$200:$F$207,[49]Форма2!$C$200:$C$207,[49]Форма2!$E$189:$F$198,[49]Форма2!$C$189:$C$198,[49]Форма2!$E$188:$F$188,[49]Форма2!$C$188</definedName>
    <definedName name="БЛРаздел8_13">[50]Форма2!$E$200:$F$207,[50]Форма2!$C$200:$C$207,[50]Форма2!$E$189:$F$198,[50]Форма2!$C$189:$C$198,[50]Форма2!$E$188:$F$188,[50]Форма2!$C$188</definedName>
    <definedName name="БЛРаздел8_16">[50]Форма2!$E$200:$F$207,[50]Форма2!$C$200:$C$207,[50]Форма2!$E$189:$F$198,[50]Форма2!$C$189:$C$198,[50]Форма2!$E$188:$F$188,[50]Форма2!$C$188</definedName>
    <definedName name="БЛРаздел8_17">[51]Форма2!$E$200:$F$207,[51]Форма2!$C$200:$C$207,[51]Форма2!$E$189:$F$198,[51]Форма2!$C$189:$C$198,[51]Форма2!$E$188:$F$188,[51]Форма2!$C$188</definedName>
    <definedName name="БЛРаздел8_18">[50]Форма2!$E$200:$F$207,[50]Форма2!$C$200:$C$207,[50]Форма2!$E$189:$F$198,[50]Форма2!$C$189:$C$198,[50]Форма2!$E$188:$F$188,[50]Форма2!$C$188</definedName>
    <definedName name="БЛРаздел9">[49]Форма2!$E$234:$F$237,[49]Форма2!$C$234:$C$237,[49]Форма2!$E$224:$F$232,[49]Форма2!$C$224:$C$232,[49]Форма2!$E$223:$F$223,[49]Форма2!$C$223,[49]Форма2!$E$217:$F$221,[49]Форма2!$C$217:$C$221,[49]Форма2!$E$210:$F$215,[49]Форма2!$C$210:$C$215,[49]Форма2!$C$210</definedName>
    <definedName name="БЛРаздел9_13">[50]Форма2!$E$234:$F$237,[50]Форма2!$C$234:$C$237,[50]Форма2!$E$224:$F$232,[50]Форма2!$C$224:$C$232,[50]Форма2!$E$223:$F$223,[50]Форма2!$C$223,[50]Форма2!$E$217:$F$221,[50]Форма2!$C$217:$C$221,[50]Форма2!$E$210:$F$215,[50]Форма2!$C$210:$C$215,[50]Форма2!$C$210</definedName>
    <definedName name="БЛРаздел9_16">[50]Форма2!$E$234:$F$237,[50]Форма2!$C$234:$C$237,[50]Форма2!$E$224:$F$232,[50]Форма2!$C$224:$C$232,[50]Форма2!$E$223:$F$223,[50]Форма2!$C$223,[50]Форма2!$E$217:$F$221,[50]Форма2!$C$217:$C$221,[50]Форма2!$E$210:$F$215,[50]Форма2!$C$210:$C$215,[50]Форма2!$C$210</definedName>
    <definedName name="БЛРаздел9_17">[51]Форма2!$E$234:$F$237,[51]Форма2!$C$234:$C$237,[51]Форма2!$E$224:$F$232,[51]Форма2!$C$224:$C$232,[51]Форма2!$E$223:$F$223,[51]Форма2!$C$223,[51]Форма2!$E$217:$F$221,[51]Форма2!$C$217:$C$221,[51]Форма2!$E$210:$F$215,[51]Форма2!$C$210:$C$215,[51]Форма2!$C$210</definedName>
    <definedName name="БЛРаздел9_18">[50]Форма2!$E$234:$F$237,[50]Форма2!$C$234:$C$237,[50]Форма2!$E$224:$F$232,[50]Форма2!$C$224:$C$232,[50]Форма2!$E$223:$F$223,[50]Форма2!$C$223,[50]Форма2!$E$217:$F$221,[50]Форма2!$C$217:$C$221,[50]Форма2!$E$210:$F$215,[50]Форма2!$C$210:$C$215,[50]Форма2!$C$210</definedName>
    <definedName name="БО5" localSheetId="0">[9]!БО5</definedName>
    <definedName name="БО5">[9]!БО5</definedName>
    <definedName name="БПДанные">[49]Форма1!$C$22:$D$33,[49]Форма1!$C$36:$D$48,[49]Форма1!$C$22</definedName>
    <definedName name="БПДанные_13">[50]Форма1!$C$22:$D$33,[50]Форма1!$C$36:$D$48,[50]Форма1!$C$22</definedName>
    <definedName name="БПДанные_16">[50]Форма1!$C$22:$D$33,[50]Форма1!$C$36:$D$48,[50]Форма1!$C$22</definedName>
    <definedName name="БПДанные_17">[51]Форма1!$C$22:$D$33,[51]Форма1!$C$36:$D$48,[51]Форма1!$C$22</definedName>
    <definedName name="БПДанные_18">[50]Форма1!$C$22:$D$33,[50]Форма1!$C$36:$D$48,[50]Форма1!$C$22</definedName>
    <definedName name="Бюджет__по__подразд__2003__года_Лист1_Таблица" localSheetId="0">[52]ОТиТБ!#REF!</definedName>
    <definedName name="Бюджет__по__подразд__2003__года_Лист1_Таблица">[52]ОТиТБ!#REF!</definedName>
    <definedName name="в" localSheetId="0">[9]!в</definedName>
    <definedName name="в">[9]!в</definedName>
    <definedName name="в23ё" localSheetId="0">[9]!в23ё</definedName>
    <definedName name="в23ё">[9]!в23ё</definedName>
    <definedName name="в23ё_11" localSheetId="0">'дек19 (факт)'!в23ё_11</definedName>
    <definedName name="в23ё_11">#N/A</definedName>
    <definedName name="в23ё_12" localSheetId="0">'дек19 (факт)'!в23ё_12</definedName>
    <definedName name="в23ё_12">#N/A</definedName>
    <definedName name="в23ё_13" localSheetId="0">'дек19 (факт)'!в23ё_13</definedName>
    <definedName name="в23ё_13">#N/A</definedName>
    <definedName name="в23ё_14" localSheetId="0">'дек19 (факт)'!в23ё_14</definedName>
    <definedName name="в23ё_14">#N/A</definedName>
    <definedName name="в23ё_16" localSheetId="0">'дек19 (факт)'!в23ё_16</definedName>
    <definedName name="в23ё_16">#N/A</definedName>
    <definedName name="в23ё_17" localSheetId="0">'дек19 (факт)'!в23ё_17</definedName>
    <definedName name="в23ё_17">#N/A</definedName>
    <definedName name="в23ё_18" localSheetId="0">'дек19 (факт)'!в23ё_18</definedName>
    <definedName name="в23ё_18">#N/A</definedName>
    <definedName name="в23ё_19" localSheetId="0">'дек19 (факт)'!в23ё_19</definedName>
    <definedName name="в23ё_19">#N/A</definedName>
    <definedName name="В32" localSheetId="0">#REF!</definedName>
    <definedName name="В32">#REF!</definedName>
    <definedName name="ВАЛЮТА">'[23]1'!$A$5</definedName>
    <definedName name="вапв" localSheetId="0" hidden="1">{#N/A,#N/A,TRUE,"Лист1";#N/A,#N/A,TRUE,"Лист2";#N/A,#N/A,TRUE,"Лист3"}</definedName>
    <definedName name="вапв" hidden="1">{#N/A,#N/A,TRUE,"Лист1";#N/A,#N/A,TRUE,"Лист2";#N/A,#N/A,TRUE,"Лист3"}</definedName>
    <definedName name="вар" localSheetId="0" hidden="1">{#N/A,#N/A,FALSE,"МТВ"}</definedName>
    <definedName name="вар" hidden="1">{#N/A,#N/A,FALSE,"МТВ"}</definedName>
    <definedName name="вариант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вариант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вб" localSheetId="0">[53]Пр2!#REF!</definedName>
    <definedName name="вб">[53]Пр2!#REF!</definedName>
    <definedName name="вв" localSheetId="0">[9]!вв</definedName>
    <definedName name="вв">[9]!вв</definedName>
    <definedName name="вв_11" localSheetId="0">'дек19 (факт)'!вв_11</definedName>
    <definedName name="вв_11">#N/A</definedName>
    <definedName name="вв_12" localSheetId="0">'дек19 (факт)'!вв_12</definedName>
    <definedName name="вв_12">#N/A</definedName>
    <definedName name="вв_13" localSheetId="0">'дек19 (факт)'!вв_13</definedName>
    <definedName name="вв_13">#N/A</definedName>
    <definedName name="вв_14" localSheetId="0">'дек19 (факт)'!вв_14</definedName>
    <definedName name="вв_14">#N/A</definedName>
    <definedName name="вв_16" localSheetId="0">'дек19 (факт)'!вв_16</definedName>
    <definedName name="вв_16">#N/A</definedName>
    <definedName name="вв_17" localSheetId="0">'дек19 (факт)'!вв_17</definedName>
    <definedName name="вв_17">#N/A</definedName>
    <definedName name="вв_18" localSheetId="0">'дек19 (факт)'!вв_18</definedName>
    <definedName name="вв_18">#N/A</definedName>
    <definedName name="вв_19" localSheetId="0">'дек19 (факт)'!вв_19</definedName>
    <definedName name="вв_19">#N/A</definedName>
    <definedName name="версия" localSheetId="0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версия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вор" localSheetId="0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вор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второй" localSheetId="0">#REF!</definedName>
    <definedName name="второй">#REF!</definedName>
    <definedName name="вуув" localSheetId="0" hidden="1">{#N/A,#N/A,TRUE,"Лист1";#N/A,#N/A,TRUE,"Лист2";#N/A,#N/A,TRUE,"Лист3"}</definedName>
    <definedName name="вуув" hidden="1">{#N/A,#N/A,TRUE,"Лист1";#N/A,#N/A,TRUE,"Лист2";#N/A,#N/A,TRUE,"Лист3"}</definedName>
    <definedName name="гараж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араж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ггг" localSheetId="0">#REF!</definedName>
    <definedName name="гггг">#REF!</definedName>
    <definedName name="город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ород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график_2" localSheetId="0">#REF!</definedName>
    <definedName name="график_2">#REF!</definedName>
    <definedName name="графики_Темиржолсу" localSheetId="0">#REF!</definedName>
    <definedName name="графики_Темиржолсу">#REF!</definedName>
    <definedName name="грприрцфв00ав98" localSheetId="0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ульсум" localSheetId="0">[9]!гульсум</definedName>
    <definedName name="гульсум">[9]!гульсум</definedName>
    <definedName name="д" localSheetId="0">#REF!</definedName>
    <definedName name="д">#REF!</definedName>
    <definedName name="д1" localSheetId="0">#REF!</definedName>
    <definedName name="д1">#REF!</definedName>
    <definedName name="д2" localSheetId="0">#REF!</definedName>
    <definedName name="д2">#REF!</definedName>
    <definedName name="д3" localSheetId="0">#REF!</definedName>
    <definedName name="д3">#REF!</definedName>
    <definedName name="д4" localSheetId="0">#REF!</definedName>
    <definedName name="д4">#REF!</definedName>
    <definedName name="дата">'[23]Список документов'!$B$2</definedName>
    <definedName name="Дата_справки" localSheetId="0">#REF!</definedName>
    <definedName name="Дата_справки">#REF!</definedName>
    <definedName name="дебит">'[54]из сем'!$A$2:$B$362</definedName>
    <definedName name="дмтс" localSheetId="0">#REF!</definedName>
    <definedName name="дмтс">#REF!</definedName>
    <definedName name="Добыча">'[55]Добыча нефти4'!$F$11:$Q$12</definedName>
    <definedName name="Добыча_13">'[56]Добыча нефти4'!$F$11:$Q$12</definedName>
    <definedName name="Добыча_16">'[56]Добыча нефти4'!$F$11:$Q$12</definedName>
    <definedName name="Добыча_18">'[56]Добыча нефти4'!$F$11:$Q$12</definedName>
    <definedName name="Доз5" localSheetId="0">#REF!</definedName>
    <definedName name="Доз5">#REF!</definedName>
    <definedName name="Доз5_13" localSheetId="0">#REF!</definedName>
    <definedName name="Доз5_13">#REF!</definedName>
    <definedName name="Доз5_16" localSheetId="0">#REF!</definedName>
    <definedName name="Доз5_16">#REF!</definedName>
    <definedName name="Доз5_17" localSheetId="0">#REF!</definedName>
    <definedName name="Доз5_17">#REF!</definedName>
    <definedName name="Доз5_18" localSheetId="0">#REF!</definedName>
    <definedName name="Доз5_18">#REF!</definedName>
    <definedName name="доз6" localSheetId="0">#REF!</definedName>
    <definedName name="доз6">#REF!</definedName>
    <definedName name="дурак" localSheetId="0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дурак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е" localSheetId="0">[9]!е</definedName>
    <definedName name="е">[9]!е</definedName>
    <definedName name="ЕдИзм">[20]ЕдИзм!$A$1:$D$25</definedName>
    <definedName name="ЕдИзм_13">[22]ЕдИзм!$A$1:$D$25</definedName>
    <definedName name="ЕдИзм_16">[22]ЕдИзм!$A$1:$D$25</definedName>
    <definedName name="ЕдИзм_18">[22]ЕдИзм!$A$1:$D$25</definedName>
    <definedName name="ж" localSheetId="0">#REF!</definedName>
    <definedName name="ж">#REF!</definedName>
    <definedName name="_xlnm.Print_Titles" localSheetId="0">'дек19 (факт)'!$A:$D,'дек19 (факт)'!$4:$7</definedName>
    <definedName name="знач" localSheetId="0">[9]!знач</definedName>
    <definedName name="знач">[9]!знач</definedName>
    <definedName name="И" localSheetId="0">'[10]д.7.001'!#REF!</definedName>
    <definedName name="И">'[10]д.7.001'!#REF!</definedName>
    <definedName name="изменения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зменения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мпорт" localSheetId="0">#REF!</definedName>
    <definedName name="импорт">#REF!</definedName>
    <definedName name="импорт_13" localSheetId="0">#REF!</definedName>
    <definedName name="импорт_13">#REF!</definedName>
    <definedName name="импорт_16" localSheetId="0">#REF!</definedName>
    <definedName name="импорт_16">#REF!</definedName>
    <definedName name="импорт_18" localSheetId="0">#REF!</definedName>
    <definedName name="импорт_18">#REF!</definedName>
    <definedName name="имя" localSheetId="0">#REF!</definedName>
    <definedName name="имя">#REF!</definedName>
    <definedName name="индплан" localSheetId="0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ра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ина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ирин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й" localSheetId="0">[9]!й</definedName>
    <definedName name="й">[9]!й</definedName>
    <definedName name="й_11" localSheetId="0">'дек19 (факт)'!й_11</definedName>
    <definedName name="й_11">#N/A</definedName>
    <definedName name="й_12" localSheetId="0">'дек19 (факт)'!й_12</definedName>
    <definedName name="й_12">#N/A</definedName>
    <definedName name="й_13" localSheetId="0">'дек19 (факт)'!й_13</definedName>
    <definedName name="й_13">#N/A</definedName>
    <definedName name="й_14" localSheetId="0">'дек19 (факт)'!й_14</definedName>
    <definedName name="й_14">#N/A</definedName>
    <definedName name="й_16" localSheetId="0">'дек19 (факт)'!й_16</definedName>
    <definedName name="й_16">#N/A</definedName>
    <definedName name="й_17" localSheetId="0">'дек19 (факт)'!й_17</definedName>
    <definedName name="й_17">#N/A</definedName>
    <definedName name="й_18" localSheetId="0">'дек19 (факт)'!й_18</definedName>
    <definedName name="й_18">#N/A</definedName>
    <definedName name="й_19" localSheetId="0">'дек19 (факт)'!й_19</definedName>
    <definedName name="й_19">#N/A</definedName>
    <definedName name="йй" localSheetId="0">[9]!йй</definedName>
    <definedName name="йй">[9]!йй</definedName>
    <definedName name="йй_11" localSheetId="0">'дек19 (факт)'!йй_11</definedName>
    <definedName name="йй_11">#N/A</definedName>
    <definedName name="йй_12" localSheetId="0">'дек19 (факт)'!йй_12</definedName>
    <definedName name="йй_12">#N/A</definedName>
    <definedName name="йй_13" localSheetId="0">'дек19 (факт)'!йй_13</definedName>
    <definedName name="йй_13">#N/A</definedName>
    <definedName name="йй_14" localSheetId="0">'дек19 (факт)'!йй_14</definedName>
    <definedName name="йй_14">#N/A</definedName>
    <definedName name="йй_16" localSheetId="0">'дек19 (факт)'!йй_16</definedName>
    <definedName name="йй_16">#N/A</definedName>
    <definedName name="йй_17" localSheetId="0">'дек19 (факт)'!йй_17</definedName>
    <definedName name="йй_17">#N/A</definedName>
    <definedName name="йй_18" localSheetId="0">'дек19 (факт)'!йй_18</definedName>
    <definedName name="йй_18">#N/A</definedName>
    <definedName name="йй_19" localSheetId="0">'дек19 (факт)'!йй_19</definedName>
    <definedName name="йй_19">#N/A</definedName>
    <definedName name="Казтрансойл" localSheetId="0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Казтрансойл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кассовый" localSheetId="0">[9]!кассовый</definedName>
    <definedName name="кассовый">[9]!кассовый</definedName>
    <definedName name="ке" localSheetId="0">[9]!ке</definedName>
    <definedName name="ке">[9]!ке</definedName>
    <definedName name="ке_11" localSheetId="0">'дек19 (факт)'!ке_11</definedName>
    <definedName name="ке_11">#N/A</definedName>
    <definedName name="ке_12" localSheetId="0">'дек19 (факт)'!ке_12</definedName>
    <definedName name="ке_12">#N/A</definedName>
    <definedName name="ке_13" localSheetId="0">'дек19 (факт)'!ке_13</definedName>
    <definedName name="ке_13">#N/A</definedName>
    <definedName name="ке_14" localSheetId="0">'дек19 (факт)'!ке_14</definedName>
    <definedName name="ке_14">#N/A</definedName>
    <definedName name="ке_16" localSheetId="0">'дек19 (факт)'!ке_16</definedName>
    <definedName name="ке_16">#N/A</definedName>
    <definedName name="ке_17" localSheetId="0">'дек19 (факт)'!ке_17</definedName>
    <definedName name="ке_17">#N/A</definedName>
    <definedName name="ке_18" localSheetId="0">'дек19 (факт)'!ке_18</definedName>
    <definedName name="ке_18">#N/A</definedName>
    <definedName name="ке_19" localSheetId="0">'дек19 (факт)'!ке_19</definedName>
    <definedName name="ке_19">#N/A</definedName>
    <definedName name="Кегок2" localSheetId="0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кк" localSheetId="0" hidden="1">{#N/A,#N/A,TRUE,"Лист1";#N/A,#N/A,TRUE,"Лист2";#N/A,#N/A,TRUE,"Лист3"}</definedName>
    <definedName name="ккк" hidden="1">{#N/A,#N/A,TRUE,"Лист1";#N/A,#N/A,TRUE,"Лист2";#N/A,#N/A,TRUE,"Лист3"}</definedName>
    <definedName name="Консолидация" localSheetId="0">#REF!</definedName>
    <definedName name="Консолидация">#REF!</definedName>
    <definedName name="копия" localSheetId="0">[9]!копия</definedName>
    <definedName name="копия">[9]!копия</definedName>
    <definedName name="КТЖ" localSheetId="0">[9]!КТЖ</definedName>
    <definedName name="КТЖ">[9]!КТЖ</definedName>
    <definedName name="курс" localSheetId="0">#REF!</definedName>
    <definedName name="курс">#REF!</definedName>
    <definedName name="курс_2005" localSheetId="0">#REF!</definedName>
    <definedName name="курс_2005">#REF!</definedName>
    <definedName name="курс_2006" localSheetId="0">#REF!</definedName>
    <definedName name="курс_2006">#REF!</definedName>
    <definedName name="курс_2007" localSheetId="0">#REF!</definedName>
    <definedName name="курс_2007">#REF!</definedName>
    <definedName name="курс_2008" localSheetId="0">#REF!</definedName>
    <definedName name="курс_2008">#REF!</definedName>
    <definedName name="курс_2009" localSheetId="0">#REF!</definedName>
    <definedName name="курс_2009">#REF!</definedName>
    <definedName name="курс_2010" localSheetId="0">#REF!</definedName>
    <definedName name="курс_2010">#REF!</definedName>
    <definedName name="л" localSheetId="0">[9]!л</definedName>
    <definedName name="л">[9]!л</definedName>
    <definedName name="Ликвидация" localSheetId="0">#REF!</definedName>
    <definedName name="Ликвидация">#REF!</definedName>
    <definedName name="лист">#N/A</definedName>
    <definedName name="лист1" localSheetId="0">#REF!</definedName>
    <definedName name="лист1">#REF!</definedName>
    <definedName name="лист1_1">#N/A</definedName>
    <definedName name="лист2">#N/A</definedName>
    <definedName name="ллл" localSheetId="0">#REF!</definedName>
    <definedName name="ллл">#REF!</definedName>
    <definedName name="Макрос1" localSheetId="0">[9]!Макрос1</definedName>
    <definedName name="Макрос1">[9]!Макрос1</definedName>
    <definedName name="Макрос2" localSheetId="0">#REF!</definedName>
    <definedName name="Макрос2">#REF!</definedName>
    <definedName name="Макрос3" localSheetId="0">#REF!</definedName>
    <definedName name="Макрос3">#REF!</definedName>
    <definedName name="Макрос4" localSheetId="0">#REF!</definedName>
    <definedName name="Макрос4">#REF!</definedName>
    <definedName name="мбр" localSheetId="0">[53]Пр2!#REF!</definedName>
    <definedName name="мбр">[53]Пр2!#REF!</definedName>
    <definedName name="мес" localSheetId="0" hidden="1">{#N/A,#N/A,TRUE,"Лист1";#N/A,#N/A,TRUE,"Лист2";#N/A,#N/A,TRUE,"Лист3"}</definedName>
    <definedName name="мес" hidden="1">{#N/A,#N/A,TRUE,"Лист1";#N/A,#N/A,TRUE,"Лист2";#N/A,#N/A,TRUE,"Лист3"}</definedName>
    <definedName name="ммм" localSheetId="0">#REF!</definedName>
    <definedName name="ммм">#REF!</definedName>
    <definedName name="мпр" localSheetId="0">#REF!</definedName>
    <definedName name="мпр">#REF!</definedName>
    <definedName name="МРП" localSheetId="0">#REF!</definedName>
    <definedName name="МРП">#REF!</definedName>
    <definedName name="мым" localSheetId="0">[9]!мым</definedName>
    <definedName name="мым">[9]!мым</definedName>
    <definedName name="мым_11" localSheetId="0">'дек19 (факт)'!мым_11</definedName>
    <definedName name="мым_11">#N/A</definedName>
    <definedName name="мым_12" localSheetId="0">'дек19 (факт)'!мым_12</definedName>
    <definedName name="мым_12">#N/A</definedName>
    <definedName name="мым_13" localSheetId="0">'дек19 (факт)'!мым_13</definedName>
    <definedName name="мым_13">#N/A</definedName>
    <definedName name="мым_14" localSheetId="0">'дек19 (факт)'!мым_14</definedName>
    <definedName name="мым_14">#N/A</definedName>
    <definedName name="мым_16" localSheetId="0">'дек19 (факт)'!мым_16</definedName>
    <definedName name="мым_16">#N/A</definedName>
    <definedName name="мым_17" localSheetId="0">'дек19 (факт)'!мым_17</definedName>
    <definedName name="мым_17">#N/A</definedName>
    <definedName name="мым_18" localSheetId="0">'дек19 (факт)'!мым_18</definedName>
    <definedName name="мым_18">#N/A</definedName>
    <definedName name="мым_19" localSheetId="0">'дек19 (факт)'!мым_19</definedName>
    <definedName name="мым_19">#N/A</definedName>
    <definedName name="налогКЖДТ" localSheetId="0">#REF!</definedName>
    <definedName name="налогКЖДТ">#REF!</definedName>
    <definedName name="налогКТЖ" localSheetId="0">#REF!</definedName>
    <definedName name="налогКТЖ">#REF!</definedName>
    <definedName name="налогЛокомотив" localSheetId="0">#REF!</definedName>
    <definedName name="налогЛокомотив">#REF!</definedName>
    <definedName name="Нстроки" localSheetId="0">#REF!</definedName>
    <definedName name="Нстроки">#REF!</definedName>
    <definedName name="о" localSheetId="0">[9]!о</definedName>
    <definedName name="о">[9]!о</definedName>
    <definedName name="_xlnm.Print_Area" localSheetId="0">'дек19 (факт)'!$A$1:$BM$444</definedName>
    <definedName name="Общие" localSheetId="0">#REF!</definedName>
    <definedName name="Общие">#REF!</definedName>
    <definedName name="окт" localSheetId="0">#REF!</definedName>
    <definedName name="окт">#REF!</definedName>
    <definedName name="окт2" localSheetId="0">#REF!</definedName>
    <definedName name="окт2">#REF!</definedName>
    <definedName name="окт3" localSheetId="0">#REF!</definedName>
    <definedName name="окт3">#REF!</definedName>
    <definedName name="олд" localSheetId="0">#REF!</definedName>
    <definedName name="олд">#REF!</definedName>
    <definedName name="оплата" localSheetId="0">#REF!</definedName>
    <definedName name="оплата">#REF!</definedName>
    <definedName name="оплата2" localSheetId="0">#REF!</definedName>
    <definedName name="оплата2">#REF!</definedName>
    <definedName name="Ора">'[57]поставка сравн13'!$A$1:$Q$30</definedName>
    <definedName name="Ораз">[47]Форма2!$D$179:$F$185,[47]Форма2!$D$175:$F$177,[47]Форма2!$D$165:$F$173,[47]Форма2!$D$165</definedName>
    <definedName name="оригинал" localSheetId="0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оригинал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остаток" localSheetId="0">#REF!</definedName>
    <definedName name="остаток">#REF!</definedName>
    <definedName name="ПВД1" localSheetId="0">#REF!</definedName>
    <definedName name="ПВД1">#REF!</definedName>
    <definedName name="первый" localSheetId="0">#REF!</definedName>
    <definedName name="первый">#REF!</definedName>
    <definedName name="Период_отгрузки" localSheetId="0">#REF!</definedName>
    <definedName name="Период_отгрузки">#REF!</definedName>
    <definedName name="подготовка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подготовк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Подготовка_к_печати_и_сохранение0710" localSheetId="0">[9]!Подготовка_к_печати_и_сохранение0710</definedName>
    <definedName name="Подготовка_к_печати_и_сохранение0710">[9]!Подготовка_к_печати_и_сохранение0710</definedName>
    <definedName name="пол" localSheetId="0">[9]!пол</definedName>
    <definedName name="пол">[9]!пол</definedName>
    <definedName name="пп">#N/A</definedName>
    <definedName name="ппп" localSheetId="0">[9]!ппп</definedName>
    <definedName name="ппп">[9]!ппп</definedName>
    <definedName name="пппп" localSheetId="0">[9]!пппп</definedName>
    <definedName name="пппп">[9]!пппп</definedName>
    <definedName name="пр" localSheetId="0">[9]!пр</definedName>
    <definedName name="пр">[9]!пр</definedName>
    <definedName name="Предприятия">'[58]#ССЫЛКА'!$A$1:$D$64</definedName>
    <definedName name="Предприятия_13" localSheetId="0">#REF!</definedName>
    <definedName name="Предприятия_13">#REF!</definedName>
    <definedName name="Предприятия_16" localSheetId="0">#REF!</definedName>
    <definedName name="Предприятия_16">#REF!</definedName>
    <definedName name="Предприятия_18" localSheetId="0">#REF!</definedName>
    <definedName name="Предприятия_18">#REF!</definedName>
    <definedName name="прибыль3" localSheetId="0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 localSheetId="0">#REF!</definedName>
    <definedName name="Прог">#REF!</definedName>
    <definedName name="пррррр" localSheetId="0">#REF!</definedName>
    <definedName name="пррррр">#REF!</definedName>
    <definedName name="прррррр" localSheetId="0">#REF!</definedName>
    <definedName name="прррррр">#REF!</definedName>
    <definedName name="расход" localSheetId="0">#REF!</definedName>
    <definedName name="расход">#REF!</definedName>
    <definedName name="расходы">[59]Форма2!$C$51:$C$58,[59]Форма2!$E$51:$F$58,[59]Форма2!$C$60:$C$63,[59]Форма2!$E$60:$F$63,[59]Форма2!$C$65:$C$67,[59]Форма2!$E$65:$F$67,[59]Форма2!$C$51</definedName>
    <definedName name="расчет" localSheetId="0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расчет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Реализация" localSheetId="0">#REF!</definedName>
    <definedName name="Реализация">#REF!</definedName>
    <definedName name="_xlnm.Recorder" localSheetId="0">#REF!</definedName>
    <definedName name="_xlnm.Recorder">#REF!</definedName>
    <definedName name="рис1" localSheetId="0" hidden="1">{#N/A,#N/A,TRUE,"Лист1";#N/A,#N/A,TRUE,"Лист2";#N/A,#N/A,TRUE,"Лист3"}</definedName>
    <definedName name="рис1" hidden="1">{#N/A,#N/A,TRUE,"Лист1";#N/A,#N/A,TRUE,"Лист2";#N/A,#N/A,TRUE,"Лист3"}</definedName>
    <definedName name="рол" localSheetId="0">#REF!</definedName>
    <definedName name="рол">#REF!</definedName>
    <definedName name="рп" localSheetId="0">[9]!рп</definedName>
    <definedName name="рп">[9]!рп</definedName>
    <definedName name="рпопо" localSheetId="0" hidden="1">{#N/A,#N/A,TRUE,"Лист1";#N/A,#N/A,TRUE,"Лист2";#N/A,#N/A,TRUE,"Лист3"}</definedName>
    <definedName name="рпопо" hidden="1">{#N/A,#N/A,TRUE,"Лист1";#N/A,#N/A,TRUE,"Лист2";#N/A,#N/A,TRUE,"Лист3"}</definedName>
    <definedName name="рррр" localSheetId="0">[9]!рррр</definedName>
    <definedName name="рррр">[9]!рррр</definedName>
    <definedName name="с" localSheetId="0">[9]!с</definedName>
    <definedName name="с">[9]!с</definedName>
    <definedName name="с_11" localSheetId="0">'дек19 (факт)'!с_11</definedName>
    <definedName name="с_11">#N/A</definedName>
    <definedName name="с_12" localSheetId="0">'дек19 (факт)'!с_12</definedName>
    <definedName name="с_12">#N/A</definedName>
    <definedName name="с_13" localSheetId="0">'дек19 (факт)'!с_13</definedName>
    <definedName name="с_13">#N/A</definedName>
    <definedName name="с_14" localSheetId="0">'дек19 (факт)'!с_14</definedName>
    <definedName name="с_14">#N/A</definedName>
    <definedName name="с_16" localSheetId="0">'дек19 (факт)'!с_16</definedName>
    <definedName name="с_16">#N/A</definedName>
    <definedName name="с_17" localSheetId="0">'дек19 (факт)'!с_17</definedName>
    <definedName name="с_17">#N/A</definedName>
    <definedName name="с_18" localSheetId="0">'дек19 (факт)'!с_18</definedName>
    <definedName name="с_18">#N/A</definedName>
    <definedName name="с_19" localSheetId="0">'дек19 (факт)'!с_19</definedName>
    <definedName name="с_19">#N/A</definedName>
    <definedName name="Свод" localSheetId="0">[9]!Свод</definedName>
    <definedName name="Свод">[9]!Свод</definedName>
    <definedName name="Сводный_баланс_н_п_с" localSheetId="0">[9]!Сводный_баланс_н_п_с</definedName>
    <definedName name="Сводный_баланс_н_п_с">[9]!Сводный_баланс_н_п_с</definedName>
    <definedName name="сектор">[20]Предпр!$L$3:$L$9</definedName>
    <definedName name="сектор_13">[22]Предпр!$L$3:$L$8</definedName>
    <definedName name="сектор_16">[22]Предпр!$L$3:$L$8</definedName>
    <definedName name="сектор_18">[22]Предпр!$L$3:$L$8</definedName>
    <definedName name="см" localSheetId="0">#REF!</definedName>
    <definedName name="см">#REF!</definedName>
    <definedName name="Сохранение" localSheetId="0">#REF!</definedName>
    <definedName name="Сохранение">#REF!</definedName>
    <definedName name="Соц.пособие" localSheetId="0">[60]ОТиТБ!#REF!</definedName>
    <definedName name="Соц.пособие">[60]ОТиТБ!#REF!</definedName>
    <definedName name="СписокТЭП">[61]СписокТЭП!$A$1:$C$40</definedName>
    <definedName name="СписокТЭП_13">[62]СписокТЭП!$A$1:$C$40</definedName>
    <definedName name="СписокТЭП_16">[62]СписокТЭП!$A$1:$C$40</definedName>
    <definedName name="СписокТЭП_18">[62]СписокТЭП!$A$1:$C$40</definedName>
    <definedName name="СрокПроекта" localSheetId="0">#REF!</definedName>
    <definedName name="СрокПроекта">#REF!</definedName>
    <definedName name="сс" localSheetId="0">[9]!сс</definedName>
    <definedName name="сс">[9]!сс</definedName>
    <definedName name="сс_11" localSheetId="0">'дек19 (факт)'!сс_11</definedName>
    <definedName name="сс_11">#N/A</definedName>
    <definedName name="сс_12" localSheetId="0">'дек19 (факт)'!сс_12</definedName>
    <definedName name="сс_12">#N/A</definedName>
    <definedName name="сс_13" localSheetId="0">'дек19 (факт)'!сс_13</definedName>
    <definedName name="сс_13">#N/A</definedName>
    <definedName name="сс_14" localSheetId="0">'дек19 (факт)'!сс_14</definedName>
    <definedName name="сс_14">#N/A</definedName>
    <definedName name="сс_16" localSheetId="0">'дек19 (факт)'!сс_16</definedName>
    <definedName name="сс_16">#N/A</definedName>
    <definedName name="сс_17" localSheetId="0">'дек19 (факт)'!сс_17</definedName>
    <definedName name="сс_17">#N/A</definedName>
    <definedName name="сс_18" localSheetId="0">'дек19 (факт)'!сс_18</definedName>
    <definedName name="сс_18">#N/A</definedName>
    <definedName name="сс_19" localSheetId="0">'дек19 (факт)'!сс_19</definedName>
    <definedName name="сс_19">#N/A</definedName>
    <definedName name="сссс" localSheetId="0">[9]!сссс</definedName>
    <definedName name="сссс">[9]!сссс</definedName>
    <definedName name="сссс_11" localSheetId="0">'дек19 (факт)'!сссс_11</definedName>
    <definedName name="сссс_11">#N/A</definedName>
    <definedName name="сссс_12" localSheetId="0">'дек19 (факт)'!сссс_12</definedName>
    <definedName name="сссс_12">#N/A</definedName>
    <definedName name="сссс_13" localSheetId="0">'дек19 (факт)'!сссс_13</definedName>
    <definedName name="сссс_13">#N/A</definedName>
    <definedName name="сссс_14" localSheetId="0">'дек19 (факт)'!сссс_14</definedName>
    <definedName name="сссс_14">#N/A</definedName>
    <definedName name="сссс_16" localSheetId="0">'дек19 (факт)'!сссс_16</definedName>
    <definedName name="сссс_16">#N/A</definedName>
    <definedName name="сссс_17" localSheetId="0">'дек19 (факт)'!сссс_17</definedName>
    <definedName name="сссс_17">#N/A</definedName>
    <definedName name="сссс_18" localSheetId="0">'дек19 (факт)'!сссс_18</definedName>
    <definedName name="сссс_18">#N/A</definedName>
    <definedName name="сссс_19" localSheetId="0">'дек19 (факт)'!сссс_19</definedName>
    <definedName name="сссс_19">#N/A</definedName>
    <definedName name="ссы" localSheetId="0">[9]!ссы</definedName>
    <definedName name="ссы">[9]!ссы</definedName>
    <definedName name="ссы_11" localSheetId="0">'дек19 (факт)'!ссы_11</definedName>
    <definedName name="ссы_11">#N/A</definedName>
    <definedName name="ссы_12" localSheetId="0">'дек19 (факт)'!ссы_12</definedName>
    <definedName name="ссы_12">#N/A</definedName>
    <definedName name="ссы_13" localSheetId="0">'дек19 (факт)'!ссы_13</definedName>
    <definedName name="ссы_13">#N/A</definedName>
    <definedName name="ссы_14" localSheetId="0">'дек19 (факт)'!ссы_14</definedName>
    <definedName name="ссы_14">#N/A</definedName>
    <definedName name="ссы_16" localSheetId="0">'дек19 (факт)'!ссы_16</definedName>
    <definedName name="ссы_16">#N/A</definedName>
    <definedName name="ссы_17" localSheetId="0">'дек19 (факт)'!ссы_17</definedName>
    <definedName name="ссы_17">#N/A</definedName>
    <definedName name="ссы_18" localSheetId="0">'дек19 (факт)'!ссы_18</definedName>
    <definedName name="ссы_18">#N/A</definedName>
    <definedName name="ссы_19" localSheetId="0">'дек19 (факт)'!ссы_19</definedName>
    <definedName name="ссы_19">#N/A</definedName>
    <definedName name="СтавкаПроцента1">'[63]L-1'!$B$3</definedName>
    <definedName name="Строки" localSheetId="0">#REF!</definedName>
    <definedName name="Строки">#REF!</definedName>
    <definedName name="СуммаКредита1">'[63]L-1'!$B$2</definedName>
    <definedName name="счет" localSheetId="0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счет" hidden="1">{#N/A,#N/A,FALSE,"техноконтракт33а отв";#N/A,#N/A,FALSE,"техноконтракт56а отв";#N/A,#N/A,FALSE,"техноконтракт 16а отв";#N/A,#N/A,FALSE,"тыныс35а отв";#N/A,#N/A,FALSE,"тыныс18а отв";#N/A,#N/A,FALSE,"акбор26а отв.";#N/A,#N/A,FALSE,"акбор 5а отв"}</definedName>
    <definedName name="сяры" localSheetId="0">#REF!</definedName>
    <definedName name="сяры">#REF!</definedName>
    <definedName name="титэк" localSheetId="0">#REF!</definedName>
    <definedName name="титэк">#REF!</definedName>
    <definedName name="титэк_13" localSheetId="0">#REF!</definedName>
    <definedName name="титэк_13">#REF!</definedName>
    <definedName name="титэк_16" localSheetId="0">#REF!</definedName>
    <definedName name="титэк_16">#REF!</definedName>
    <definedName name="титэк_18" localSheetId="0">#REF!</definedName>
    <definedName name="титэк_18">#REF!</definedName>
    <definedName name="титэк1" localSheetId="0">#REF!</definedName>
    <definedName name="титэк1">#REF!</definedName>
    <definedName name="титэк1_13" localSheetId="0">#REF!</definedName>
    <definedName name="титэк1_13">#REF!</definedName>
    <definedName name="титэк1_16" localSheetId="0">#REF!</definedName>
    <definedName name="титэк1_16">#REF!</definedName>
    <definedName name="титэк1_18" localSheetId="0">#REF!</definedName>
    <definedName name="титэк1_18">#REF!</definedName>
    <definedName name="титэмба" localSheetId="0">#REF!</definedName>
    <definedName name="титэмба">#REF!</definedName>
    <definedName name="титэмба_13" localSheetId="0">#REF!</definedName>
    <definedName name="титэмба_13">#REF!</definedName>
    <definedName name="титэмба_16" localSheetId="0">#REF!</definedName>
    <definedName name="титэмба_16">#REF!</definedName>
    <definedName name="титэмба_18" localSheetId="0">#REF!</definedName>
    <definedName name="титэмба_18">#REF!</definedName>
    <definedName name="тп" localSheetId="0" hidden="1">{#N/A,#N/A,TRUE,"Лист1";#N/A,#N/A,TRUE,"Лист2";#N/A,#N/A,TRUE,"Лист3"}</definedName>
    <definedName name="тп" hidden="1">{#N/A,#N/A,TRUE,"Лист1";#N/A,#N/A,TRUE,"Лист2";#N/A,#N/A,TRUE,"Лист3"}</definedName>
    <definedName name="Трансляция_F" localSheetId="0">#REF!</definedName>
    <definedName name="Трансляция_F">#REF!</definedName>
    <definedName name="третий" localSheetId="0">#REF!</definedName>
    <definedName name="третий">#REF!</definedName>
    <definedName name="тьб" localSheetId="0">#REF!</definedName>
    <definedName name="тьб">#REF!</definedName>
    <definedName name="у" localSheetId="0">[9]!у</definedName>
    <definedName name="у">[9]!у</definedName>
    <definedName name="у_11" localSheetId="0">'дек19 (факт)'!у_11</definedName>
    <definedName name="у_11">#N/A</definedName>
    <definedName name="у_12" localSheetId="0">'дек19 (факт)'!у_12</definedName>
    <definedName name="у_12">#N/A</definedName>
    <definedName name="у_13" localSheetId="0">'дек19 (факт)'!у_13</definedName>
    <definedName name="у_13">#N/A</definedName>
    <definedName name="у_14" localSheetId="0">'дек19 (факт)'!у_14</definedName>
    <definedName name="у_14">#N/A</definedName>
    <definedName name="у_16" localSheetId="0">'дек19 (факт)'!у_16</definedName>
    <definedName name="у_16">#N/A</definedName>
    <definedName name="у_17" localSheetId="0">'дек19 (факт)'!у_17</definedName>
    <definedName name="у_17">#N/A</definedName>
    <definedName name="у_18" localSheetId="0">'дек19 (факт)'!у_18</definedName>
    <definedName name="у_18">#N/A</definedName>
    <definedName name="у_19" localSheetId="0">'дек19 (факт)'!у_19</definedName>
    <definedName name="у_19">#N/A</definedName>
    <definedName name="Увеличение" localSheetId="0">#REF!</definedName>
    <definedName name="Увеличение">#REF!</definedName>
    <definedName name="Узлы" localSheetId="0">#REF!</definedName>
    <definedName name="Узлы">#REF!</definedName>
    <definedName name="ук" localSheetId="0">[9]!ук</definedName>
    <definedName name="ук">[9]!ук</definedName>
    <definedName name="ук_11" localSheetId="0">'дек19 (факт)'!ук_11</definedName>
    <definedName name="ук_11">#N/A</definedName>
    <definedName name="ук_12" localSheetId="0">'дек19 (факт)'!ук_12</definedName>
    <definedName name="ук_12">#N/A</definedName>
    <definedName name="ук_13" localSheetId="0">'дек19 (факт)'!ук_13</definedName>
    <definedName name="ук_13">#N/A</definedName>
    <definedName name="ук_14" localSheetId="0">'дек19 (факт)'!ук_14</definedName>
    <definedName name="ук_14">#N/A</definedName>
    <definedName name="ук_16" localSheetId="0">'дек19 (факт)'!ук_16</definedName>
    <definedName name="ук_16">#N/A</definedName>
    <definedName name="ук_17" localSheetId="0">'дек19 (факт)'!ук_17</definedName>
    <definedName name="ук_17">#N/A</definedName>
    <definedName name="ук_18" localSheetId="0">'дек19 (факт)'!ук_18</definedName>
    <definedName name="ук_18">#N/A</definedName>
    <definedName name="ук_19" localSheetId="0">'дек19 (факт)'!ук_19</definedName>
    <definedName name="ук_19">#N/A</definedName>
    <definedName name="укеееукеееееееееееееее" localSheetId="0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ро" localSheetId="0" hidden="1">{#N/A,#N/A,TRUE,"Лист1";#N/A,#N/A,TRUE,"Лист2";#N/A,#N/A,TRUE,"Лист3"}</definedName>
    <definedName name="уро" hidden="1">{#N/A,#N/A,TRUE,"Лист1";#N/A,#N/A,TRUE,"Лист2";#N/A,#N/A,TRUE,"Лист3"}</definedName>
    <definedName name="Уровень2" localSheetId="0">#REF!</definedName>
    <definedName name="Уровень2">#REF!</definedName>
    <definedName name="Уровень3" localSheetId="0">#REF!</definedName>
    <definedName name="Уровень3">#REF!</definedName>
    <definedName name="ф77" localSheetId="0">#REF!</definedName>
    <definedName name="ф77">#REF!</definedName>
    <definedName name="фифа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иф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лажок16_Щелкнуть" localSheetId="0">[9]!Флажок16_Щелкнуть</definedName>
    <definedName name="Флажок16_Щелкнуть">[9]!Флажок16_Щелкнуть</definedName>
    <definedName name="фонарь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онарь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форма6" localSheetId="0">#REF!</definedName>
    <definedName name="форма6">#REF!</definedName>
    <definedName name="форма6_13" localSheetId="0">#REF!</definedName>
    <definedName name="форма6_13">#REF!</definedName>
    <definedName name="форма6_16" localSheetId="0">#REF!</definedName>
    <definedName name="форма6_16">#REF!</definedName>
    <definedName name="форма6_18" localSheetId="0">#REF!</definedName>
    <definedName name="форма6_18">#REF!</definedName>
    <definedName name="хаха" localSheetId="0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хаха" hidden="1">{#N/A,#N/A,FALSE,"аркон-исп-с";#N/A,#N/A,FALSE,"аркон-исп-d";#N/A,#N/A,FALSE,"газойл-исп-с";#N/A,#N/A,FALSE,"газойл-исп-d";#N/A,#N/A,FALSE,"спецспорт-исп-d";#N/A,#N/A,FALSE,"спецспорт-исп-c";#N/A,#N/A,FALSE,"мунай агро-исп-с";#N/A,#N/A,FALSE,"мунай агро-исп-д";#N/A,#N/A,FALSE,"имсталькон-4 -в";#N/A,#N/A,FALSE,"имсталькон-4 -а";#N/A,#N/A,FALSE,"имсталькон-3-в";#N/A,#N/A,FALSE,"имсталькон-3-а";#N/A,#N/A,FALSE,"имсталькон-2-в";#N/A,#N/A,FALSE,"имсталькон-2-а"}</definedName>
    <definedName name="ххх">#N/A</definedName>
    <definedName name="ц" localSheetId="0">[9]!ц</definedName>
    <definedName name="ц">[9]!ц</definedName>
    <definedName name="ц_11" localSheetId="0">'дек19 (факт)'!ц_11</definedName>
    <definedName name="ц_11">#N/A</definedName>
    <definedName name="ц_12" localSheetId="0">'дек19 (факт)'!ц_12</definedName>
    <definedName name="ц_12">#N/A</definedName>
    <definedName name="ц_13" localSheetId="0">'дек19 (факт)'!ц_13</definedName>
    <definedName name="ц_13">#N/A</definedName>
    <definedName name="ц_14" localSheetId="0">'дек19 (факт)'!ц_14</definedName>
    <definedName name="ц_14">#N/A</definedName>
    <definedName name="ц_16" localSheetId="0">'дек19 (факт)'!ц_16</definedName>
    <definedName name="ц_16">#N/A</definedName>
    <definedName name="ц_17" localSheetId="0">'дек19 (факт)'!ц_17</definedName>
    <definedName name="ц_17">#N/A</definedName>
    <definedName name="ц_18" localSheetId="0">'дек19 (факт)'!ц_18</definedName>
    <definedName name="ц_18">#N/A</definedName>
    <definedName name="ц_19" localSheetId="0">'дек19 (факт)'!ц_19</definedName>
    <definedName name="ц_19">#N/A</definedName>
    <definedName name="Цена_4" localSheetId="0">#REF!</definedName>
    <definedName name="Цена_4">#REF!</definedName>
    <definedName name="Цена_5" localSheetId="0">#REF!</definedName>
    <definedName name="Цена_5">#REF!</definedName>
    <definedName name="Цена_97" localSheetId="0">#REF!</definedName>
    <definedName name="Цена_97">#REF!</definedName>
    <definedName name="цу" localSheetId="0">[9]!цу</definedName>
    <definedName name="цу">[9]!цу</definedName>
    <definedName name="цу_11" localSheetId="0">'дек19 (факт)'!цу_11</definedName>
    <definedName name="цу_11">#N/A</definedName>
    <definedName name="цу_12" localSheetId="0">'дек19 (факт)'!цу_12</definedName>
    <definedName name="цу_12">#N/A</definedName>
    <definedName name="цу_13" localSheetId="0">'дек19 (факт)'!цу_13</definedName>
    <definedName name="цу_13">#N/A</definedName>
    <definedName name="цу_14" localSheetId="0">'дек19 (факт)'!цу_14</definedName>
    <definedName name="цу_14">#N/A</definedName>
    <definedName name="цу_16" localSheetId="0">'дек19 (факт)'!цу_16</definedName>
    <definedName name="цу_16">#N/A</definedName>
    <definedName name="цу_17" localSheetId="0">'дек19 (факт)'!цу_17</definedName>
    <definedName name="цу_17">#N/A</definedName>
    <definedName name="цу_18" localSheetId="0">'дек19 (факт)'!цу_18</definedName>
    <definedName name="цу_18">#N/A</definedName>
    <definedName name="цу_19" localSheetId="0">'дек19 (факт)'!цу_19</definedName>
    <definedName name="цу_19">#N/A</definedName>
    <definedName name="цц" localSheetId="0">[9]!цц</definedName>
    <definedName name="цц">[9]!цц</definedName>
    <definedName name="цц_11" localSheetId="0">'дек19 (факт)'!цц_11</definedName>
    <definedName name="цц_11">#N/A</definedName>
    <definedName name="цц_12" localSheetId="0">'дек19 (факт)'!цц_12</definedName>
    <definedName name="цц_12">#N/A</definedName>
    <definedName name="цц_13" localSheetId="0">'дек19 (факт)'!цц_13</definedName>
    <definedName name="цц_13">#N/A</definedName>
    <definedName name="цц_14" localSheetId="0">'дек19 (факт)'!цц_14</definedName>
    <definedName name="цц_14">#N/A</definedName>
    <definedName name="цц_16" localSheetId="0">'дек19 (факт)'!цц_16</definedName>
    <definedName name="цц_16">#N/A</definedName>
    <definedName name="цц_17" localSheetId="0">'дек19 (факт)'!цц_17</definedName>
    <definedName name="цц_17">#N/A</definedName>
    <definedName name="цц_18" localSheetId="0">'дек19 (факт)'!цц_18</definedName>
    <definedName name="цц_18">#N/A</definedName>
    <definedName name="цц_19" localSheetId="0">'дек19 (факт)'!цц_19</definedName>
    <definedName name="цц_19">#N/A</definedName>
    <definedName name="четвертый" localSheetId="0">#REF!</definedName>
    <definedName name="четвертый">#REF!</definedName>
    <definedName name="ш" localSheetId="0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ш" hidden="1">{#N/A,#N/A,FALSE,"шарап -В";#N/A,#N/A,FALSE,"шарап-а";#N/A,#N/A,FALSE,"мунай сервис-2 -А";#N/A,#N/A,FALSE,"мунай сервис-2-В";#N/A,#N/A,FALSE,"мунай агро-2-А";#N/A,#N/A,FALSE,"мунай агро-2-в";#N/A,#N/A,FALSE,"металлинвест-в";#N/A,#N/A,FALSE,"металлинвест-а";#N/A,#N/A,FALSE,"мгдс-3-В";#N/A,#N/A,FALSE,"мгдс-3-А";#N/A,#N/A,FALSE,"мгдс-4-а";#N/A,#N/A,FALSE,"мгдс-4-в";#N/A,#N/A,FALSE,"ел ырысы-2-в";#N/A,#N/A,FALSE,"ел ырысы-2-а";#N/A,#N/A,FALSE,"ел ырысы в";#N/A,#N/A,FALSE,"ел ырысы а";#N/A,#N/A,FALSE,"мгдс-2-В";#N/A,#N/A,FALSE,"мгдс-2-А";#N/A,#N/A,FALSE,"аркон-2 -а";#N/A,#N/A,FALSE,"аркон-2 -в";#N/A,#N/A,FALSE,"газойл-4 А";#N/A,#N/A,FALSE,"газойл-4 В";#N/A,#N/A,FALSE,"шарайна -В";#N/A,#N/A,FALSE,"шарайна-А";#N/A,#N/A,FALSE,"томерис-В";#N/A,#N/A,FALSE,"томерис-А";#N/A,#N/A,FALSE,"хван и к-а";#N/A,#N/A,FALSE,"хван и к-В"}</definedName>
    <definedName name="шщрзгшрз" localSheetId="0">[9]!шщрзгшрз</definedName>
    <definedName name="шщрзгшрз">[9]!шщрзгшрз</definedName>
    <definedName name="щ" localSheetId="0">[9]!щ</definedName>
    <definedName name="щ">[9]!щ</definedName>
    <definedName name="щ_11" localSheetId="0">'дек19 (факт)'!щ_11</definedName>
    <definedName name="щ_11">#N/A</definedName>
    <definedName name="щ_12" localSheetId="0">'дек19 (факт)'!щ_12</definedName>
    <definedName name="щ_12">#N/A</definedName>
    <definedName name="щ_13" localSheetId="0">'дек19 (факт)'!щ_13</definedName>
    <definedName name="щ_13">#N/A</definedName>
    <definedName name="щ_14" localSheetId="0">'дек19 (факт)'!щ_14</definedName>
    <definedName name="щ_14">#N/A</definedName>
    <definedName name="щ_16" localSheetId="0">'дек19 (факт)'!щ_16</definedName>
    <definedName name="щ_16">#N/A</definedName>
    <definedName name="щ_17" localSheetId="0">'дек19 (факт)'!щ_17</definedName>
    <definedName name="щ_17">#N/A</definedName>
    <definedName name="щ_18" localSheetId="0">'дек19 (факт)'!щ_18</definedName>
    <definedName name="щ_18">#N/A</definedName>
    <definedName name="щ_19" localSheetId="0">'дек19 (факт)'!щ_19</definedName>
    <definedName name="щ_19">#N/A</definedName>
    <definedName name="ътх" localSheetId="0">[9]!ътх</definedName>
    <definedName name="ътх">[9]!ътх</definedName>
    <definedName name="ыв" localSheetId="0">[9]!ыв</definedName>
    <definedName name="ыв">[9]!ыв</definedName>
    <definedName name="ыв_11" localSheetId="0">'дек19 (факт)'!ыв_11</definedName>
    <definedName name="ыв_11">#N/A</definedName>
    <definedName name="ыв_12" localSheetId="0">'дек19 (факт)'!ыв_12</definedName>
    <definedName name="ыв_12">#N/A</definedName>
    <definedName name="ыв_13" localSheetId="0">'дек19 (факт)'!ыв_13</definedName>
    <definedName name="ыв_13">#N/A</definedName>
    <definedName name="ыв_14" localSheetId="0">'дек19 (факт)'!ыв_14</definedName>
    <definedName name="ыв_14">#N/A</definedName>
    <definedName name="ыв_16" localSheetId="0">'дек19 (факт)'!ыв_16</definedName>
    <definedName name="ыв_16">#N/A</definedName>
    <definedName name="ыв_17" localSheetId="0">'дек19 (факт)'!ыв_17</definedName>
    <definedName name="ыв_17">#N/A</definedName>
    <definedName name="ыв_18" localSheetId="0">'дек19 (факт)'!ыв_18</definedName>
    <definedName name="ыв_18">#N/A</definedName>
    <definedName name="ыв_19" localSheetId="0">'дек19 (факт)'!ыв_19</definedName>
    <definedName name="ыв_19">#N/A</definedName>
    <definedName name="ыва" localSheetId="0" hidden="1">{#N/A,#N/A,TRUE,"Лист1";#N/A,#N/A,TRUE,"Лист2";#N/A,#N/A,TRUE,"Лист3"}</definedName>
    <definedName name="ыва" hidden="1">{#N/A,#N/A,TRUE,"Лист1";#N/A,#N/A,TRUE,"Лист2";#N/A,#N/A,TRUE,"Лист3"}</definedName>
    <definedName name="ып" localSheetId="0">[9]!ып</definedName>
    <definedName name="ып">[9]!ып</definedName>
    <definedName name="ыуаы" localSheetId="0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 localSheetId="0">[9]!ыыыы</definedName>
    <definedName name="ыыыы">[9]!ыыыы</definedName>
    <definedName name="ыыыы_11" localSheetId="0">'дек19 (факт)'!ыыыы_11</definedName>
    <definedName name="ыыыы_11">#N/A</definedName>
    <definedName name="ыыыы_12" localSheetId="0">'дек19 (факт)'!ыыыы_12</definedName>
    <definedName name="ыыыы_12">#N/A</definedName>
    <definedName name="ыыыы_13" localSheetId="0">'дек19 (факт)'!ыыыы_13</definedName>
    <definedName name="ыыыы_13">#N/A</definedName>
    <definedName name="ыыыы_14" localSheetId="0">'дек19 (факт)'!ыыыы_14</definedName>
    <definedName name="ыыыы_14">#N/A</definedName>
    <definedName name="ыыыы_16" localSheetId="0">'дек19 (факт)'!ыыыы_16</definedName>
    <definedName name="ыыыы_16">#N/A</definedName>
    <definedName name="ыыыы_17" localSheetId="0">'дек19 (факт)'!ыыыы_17</definedName>
    <definedName name="ыыыы_17">#N/A</definedName>
    <definedName name="ыыыы_18" localSheetId="0">'дек19 (факт)'!ыыыы_18</definedName>
    <definedName name="ыыыы_18">#N/A</definedName>
    <definedName name="ыыыы_19" localSheetId="0">'дек19 (факт)'!ыыыы_19</definedName>
    <definedName name="ыыыы_19">#N/A</definedName>
    <definedName name="Экспорт_Объемы_добычи" localSheetId="0">#REF!</definedName>
    <definedName name="Экспорт_Объемы_добычи">#REF!</definedName>
    <definedName name="Экспорт_Объемы_добычи_13" localSheetId="0">#REF!</definedName>
    <definedName name="Экспорт_Объемы_добычи_13">#REF!</definedName>
    <definedName name="Экспорт_Объемы_добычи_16" localSheetId="0">#REF!</definedName>
    <definedName name="Экспорт_Объемы_добычи_16">#REF!</definedName>
    <definedName name="Экспорт_Объемы_добычи_18" localSheetId="0">#REF!</definedName>
    <definedName name="Экспорт_Объемы_добычи_18">#REF!</definedName>
    <definedName name="Экспорт_Поставки_нефти">'[55]поставка сравн13'!$A$1:$Q$30</definedName>
    <definedName name="Экспорт_Поставки_нефти_13">'[56]поставка сравн13'!$A$1:$Q$30</definedName>
    <definedName name="Экспорт_Поставки_нефти_16">'[56]поставка сравн13'!$A$1:$Q$30</definedName>
    <definedName name="Экспорт_Поставки_нефти_18">'[56]поставка сравн13'!$A$1:$Q$30</definedName>
    <definedName name="ээ" localSheetId="0">#REF!</definedName>
    <definedName name="ээ">#REF!</definedName>
    <definedName name="юю" localSheetId="0">#REF!</definedName>
    <definedName name="юю">#REF!</definedName>
    <definedName name="явп" localSheetId="0">#REF!</definedName>
    <definedName name="явп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W433" i="1" l="1"/>
  <c r="AW431" i="1" s="1"/>
  <c r="AV433" i="1"/>
  <c r="AR433" i="1"/>
  <c r="AO433" i="1"/>
  <c r="AO431" i="1" s="1"/>
  <c r="AM433" i="1"/>
  <c r="AP433" i="1" s="1"/>
  <c r="AJ433" i="1"/>
  <c r="AF433" i="1"/>
  <c r="AD433" i="1"/>
  <c r="AA433" i="1"/>
  <c r="AG433" i="1" s="1"/>
  <c r="AG431" i="1" s="1"/>
  <c r="X433" i="1"/>
  <c r="U433" i="1"/>
  <c r="U431" i="1" s="1"/>
  <c r="Q433" i="1"/>
  <c r="N433" i="1"/>
  <c r="J433" i="1"/>
  <c r="J431" i="1" s="1"/>
  <c r="I433" i="1"/>
  <c r="F433" i="1"/>
  <c r="E433" i="1"/>
  <c r="BL432" i="1"/>
  <c r="BL430" i="1" s="1"/>
  <c r="AW432" i="1"/>
  <c r="AR432" i="1"/>
  <c r="AO432" i="1"/>
  <c r="AM432" i="1"/>
  <c r="AP432" i="1" s="1"/>
  <c r="AP430" i="1" s="1"/>
  <c r="AJ432" i="1"/>
  <c r="AF432" i="1"/>
  <c r="AF430" i="1" s="1"/>
  <c r="AD432" i="1"/>
  <c r="AA432" i="1"/>
  <c r="X432" i="1"/>
  <c r="U432" i="1"/>
  <c r="U430" i="1" s="1"/>
  <c r="U411" i="1" s="1"/>
  <c r="Q432" i="1"/>
  <c r="O432" i="1"/>
  <c r="O433" i="1" s="1"/>
  <c r="O431" i="1" s="1"/>
  <c r="N432" i="1"/>
  <c r="J432" i="1"/>
  <c r="J430" i="1" s="1"/>
  <c r="F432" i="1"/>
  <c r="BQ431" i="1"/>
  <c r="BP431" i="1"/>
  <c r="BO431" i="1"/>
  <c r="BN431" i="1"/>
  <c r="BL431" i="1"/>
  <c r="BK431" i="1"/>
  <c r="BJ431" i="1"/>
  <c r="BI431" i="1"/>
  <c r="BH431" i="1"/>
  <c r="BG431" i="1"/>
  <c r="BF431" i="1"/>
  <c r="BE431" i="1"/>
  <c r="BD431" i="1"/>
  <c r="BC431" i="1"/>
  <c r="BB431" i="1"/>
  <c r="BA431" i="1"/>
  <c r="AZ431" i="1"/>
  <c r="AY431" i="1"/>
  <c r="AX431" i="1"/>
  <c r="AV431" i="1"/>
  <c r="AU431" i="1"/>
  <c r="AT431" i="1"/>
  <c r="AS431" i="1"/>
  <c r="AQ431" i="1"/>
  <c r="AP431" i="1"/>
  <c r="AN431" i="1"/>
  <c r="AM431" i="1"/>
  <c r="AL431" i="1"/>
  <c r="AJ431" i="1"/>
  <c r="AI431" i="1"/>
  <c r="AR431" i="1" s="1"/>
  <c r="AF431" i="1"/>
  <c r="AF412" i="1" s="1"/>
  <c r="AD431" i="1"/>
  <c r="AC431" i="1"/>
  <c r="AA431" i="1"/>
  <c r="Z431" i="1"/>
  <c r="X431" i="1"/>
  <c r="W431" i="1"/>
  <c r="T431" i="1"/>
  <c r="Q431" i="1"/>
  <c r="P431" i="1"/>
  <c r="N431" i="1"/>
  <c r="I431" i="1"/>
  <c r="F431" i="1"/>
  <c r="E431" i="1"/>
  <c r="BQ430" i="1"/>
  <c r="BP430" i="1"/>
  <c r="BO430" i="1"/>
  <c r="BN430" i="1"/>
  <c r="BK430" i="1"/>
  <c r="BJ430" i="1"/>
  <c r="BI430" i="1"/>
  <c r="BI411" i="1" s="1"/>
  <c r="BH430" i="1"/>
  <c r="BG430" i="1"/>
  <c r="BF430" i="1"/>
  <c r="BE430" i="1"/>
  <c r="BE411" i="1" s="1"/>
  <c r="BD430" i="1"/>
  <c r="BC430" i="1"/>
  <c r="BB430" i="1"/>
  <c r="BA430" i="1"/>
  <c r="BA411" i="1" s="1"/>
  <c r="AZ430" i="1"/>
  <c r="AY430" i="1"/>
  <c r="AX430" i="1"/>
  <c r="AW430" i="1"/>
  <c r="AW411" i="1" s="1"/>
  <c r="AV430" i="1"/>
  <c r="AU430" i="1"/>
  <c r="AT430" i="1"/>
  <c r="AS430" i="1"/>
  <c r="AS411" i="1" s="1"/>
  <c r="AQ430" i="1"/>
  <c r="AO430" i="1"/>
  <c r="AN430" i="1"/>
  <c r="AM430" i="1"/>
  <c r="AL430" i="1"/>
  <c r="AJ430" i="1"/>
  <c r="AI430" i="1"/>
  <c r="AR430" i="1" s="1"/>
  <c r="AD430" i="1"/>
  <c r="AC430" i="1"/>
  <c r="AA430" i="1"/>
  <c r="Z430" i="1"/>
  <c r="X430" i="1"/>
  <c r="X411" i="1" s="1"/>
  <c r="W430" i="1"/>
  <c r="T430" i="1"/>
  <c r="Q430" i="1"/>
  <c r="P430" i="1"/>
  <c r="O430" i="1"/>
  <c r="N430" i="1"/>
  <c r="I430" i="1"/>
  <c r="F430" i="1"/>
  <c r="E430" i="1"/>
  <c r="AR429" i="1"/>
  <c r="AO429" i="1"/>
  <c r="AM429" i="1"/>
  <c r="AP429" i="1" s="1"/>
  <c r="AF429" i="1"/>
  <c r="AD429" i="1"/>
  <c r="AA429" i="1"/>
  <c r="X429" i="1"/>
  <c r="U429" i="1"/>
  <c r="Q429" i="1"/>
  <c r="P429" i="1"/>
  <c r="AV429" i="1" s="1"/>
  <c r="AW429" i="1" s="1"/>
  <c r="AW428" i="1"/>
  <c r="AV428" i="1"/>
  <c r="AR428" i="1"/>
  <c r="AO428" i="1"/>
  <c r="AM428" i="1"/>
  <c r="AP428" i="1" s="1"/>
  <c r="AF428" i="1"/>
  <c r="AD428" i="1"/>
  <c r="AA428" i="1"/>
  <c r="X428" i="1"/>
  <c r="U428" i="1"/>
  <c r="Q428" i="1"/>
  <c r="Q416" i="1" s="1"/>
  <c r="Q414" i="1" s="1"/>
  <c r="O428" i="1"/>
  <c r="N428" i="1"/>
  <c r="AR427" i="1"/>
  <c r="AO427" i="1"/>
  <c r="AM427" i="1"/>
  <c r="AP427" i="1" s="1"/>
  <c r="AF427" i="1"/>
  <c r="AD427" i="1"/>
  <c r="AA427" i="1"/>
  <c r="AG427" i="1" s="1"/>
  <c r="X427" i="1"/>
  <c r="U427" i="1"/>
  <c r="P427" i="1"/>
  <c r="AV426" i="1"/>
  <c r="AW426" i="1" s="1"/>
  <c r="AR426" i="1"/>
  <c r="AO426" i="1"/>
  <c r="AM426" i="1"/>
  <c r="AF426" i="1"/>
  <c r="AD426" i="1"/>
  <c r="AA426" i="1"/>
  <c r="AG426" i="1" s="1"/>
  <c r="X426" i="1"/>
  <c r="U426" i="1"/>
  <c r="Q426" i="1"/>
  <c r="O426" i="1"/>
  <c r="N426" i="1"/>
  <c r="AR425" i="1"/>
  <c r="AP425" i="1"/>
  <c r="AO425" i="1"/>
  <c r="AM425" i="1"/>
  <c r="AF425" i="1"/>
  <c r="AD425" i="1"/>
  <c r="AA425" i="1"/>
  <c r="X425" i="1"/>
  <c r="AG425" i="1" s="1"/>
  <c r="U425" i="1"/>
  <c r="Q425" i="1"/>
  <c r="P425" i="1"/>
  <c r="AV425" i="1" s="1"/>
  <c r="AW425" i="1" s="1"/>
  <c r="O425" i="1"/>
  <c r="N425" i="1"/>
  <c r="AW424" i="1"/>
  <c r="AR424" i="1"/>
  <c r="AO424" i="1"/>
  <c r="BL424" i="1" s="1"/>
  <c r="AM424" i="1"/>
  <c r="AJ424" i="1"/>
  <c r="AP424" i="1" s="1"/>
  <c r="AF424" i="1"/>
  <c r="AA424" i="1"/>
  <c r="X424" i="1"/>
  <c r="AG424" i="1" s="1"/>
  <c r="U424" i="1"/>
  <c r="Q424" i="1"/>
  <c r="N424" i="1"/>
  <c r="O424" i="1" s="1"/>
  <c r="AR423" i="1"/>
  <c r="AP423" i="1"/>
  <c r="AO423" i="1"/>
  <c r="AM423" i="1"/>
  <c r="AF423" i="1"/>
  <c r="AD423" i="1"/>
  <c r="AA423" i="1"/>
  <c r="AG423" i="1" s="1"/>
  <c r="X423" i="1"/>
  <c r="U423" i="1"/>
  <c r="Q423" i="1"/>
  <c r="P423" i="1"/>
  <c r="AV423" i="1" s="1"/>
  <c r="AW423" i="1" s="1"/>
  <c r="N423" i="1"/>
  <c r="O423" i="1" s="1"/>
  <c r="AW422" i="1"/>
  <c r="AR422" i="1"/>
  <c r="AP422" i="1"/>
  <c r="AO422" i="1"/>
  <c r="BL422" i="1" s="1"/>
  <c r="AM422" i="1"/>
  <c r="AJ422" i="1"/>
  <c r="AF422" i="1"/>
  <c r="AD422" i="1"/>
  <c r="AA422" i="1"/>
  <c r="X422" i="1"/>
  <c r="AG422" i="1" s="1"/>
  <c r="U422" i="1"/>
  <c r="Q422" i="1"/>
  <c r="N422" i="1"/>
  <c r="O422" i="1" s="1"/>
  <c r="AW421" i="1"/>
  <c r="AR421" i="1"/>
  <c r="AO421" i="1"/>
  <c r="AM421" i="1"/>
  <c r="AP421" i="1" s="1"/>
  <c r="AJ421" i="1"/>
  <c r="AF421" i="1"/>
  <c r="AF417" i="1" s="1"/>
  <c r="AD421" i="1"/>
  <c r="AA421" i="1"/>
  <c r="X421" i="1"/>
  <c r="U421" i="1"/>
  <c r="Q421" i="1"/>
  <c r="P421" i="1"/>
  <c r="N421" i="1"/>
  <c r="AW420" i="1"/>
  <c r="AV420" i="1"/>
  <c r="AR420" i="1"/>
  <c r="AP420" i="1"/>
  <c r="AO420" i="1"/>
  <c r="AF420" i="1"/>
  <c r="AD420" i="1"/>
  <c r="AA420" i="1"/>
  <c r="AG420" i="1" s="1"/>
  <c r="X420" i="1"/>
  <c r="U420" i="1"/>
  <c r="Q420" i="1"/>
  <c r="O420" i="1"/>
  <c r="N420" i="1"/>
  <c r="AV419" i="1"/>
  <c r="AR419" i="1"/>
  <c r="AO419" i="1"/>
  <c r="AM419" i="1"/>
  <c r="AJ419" i="1"/>
  <c r="AF419" i="1"/>
  <c r="AD419" i="1"/>
  <c r="AD417" i="1" s="1"/>
  <c r="AD415" i="1" s="1"/>
  <c r="AA419" i="1"/>
  <c r="X419" i="1"/>
  <c r="U419" i="1"/>
  <c r="Q419" i="1"/>
  <c r="P419" i="1"/>
  <c r="N419" i="1" s="1"/>
  <c r="O419" i="1" s="1"/>
  <c r="J419" i="1"/>
  <c r="F419" i="1"/>
  <c r="AR418" i="1"/>
  <c r="AP418" i="1"/>
  <c r="AO418" i="1"/>
  <c r="AF418" i="1"/>
  <c r="AV418" i="1" s="1"/>
  <c r="AW418" i="1" s="1"/>
  <c r="AD418" i="1"/>
  <c r="AD416" i="1" s="1"/>
  <c r="AD414" i="1" s="1"/>
  <c r="AD411" i="1" s="1"/>
  <c r="AA418" i="1"/>
  <c r="AG418" i="1" s="1"/>
  <c r="X418" i="1"/>
  <c r="U418" i="1"/>
  <c r="Q418" i="1"/>
  <c r="O418" i="1"/>
  <c r="O416" i="1" s="1"/>
  <c r="N418" i="1"/>
  <c r="J418" i="1"/>
  <c r="F418" i="1"/>
  <c r="F416" i="1" s="1"/>
  <c r="F414" i="1" s="1"/>
  <c r="F411" i="1" s="1"/>
  <c r="BT417" i="1"/>
  <c r="BS417" i="1"/>
  <c r="BR417" i="1"/>
  <c r="BQ417" i="1"/>
  <c r="BP417" i="1"/>
  <c r="BO417" i="1"/>
  <c r="BN417" i="1"/>
  <c r="BM417" i="1"/>
  <c r="BL417" i="1"/>
  <c r="BK417" i="1"/>
  <c r="BJ417" i="1"/>
  <c r="BJ415" i="1" s="1"/>
  <c r="BI417" i="1"/>
  <c r="BH417" i="1"/>
  <c r="BG417" i="1"/>
  <c r="BF417" i="1"/>
  <c r="BF415" i="1" s="1"/>
  <c r="BE417" i="1"/>
  <c r="BD417" i="1"/>
  <c r="BC417" i="1"/>
  <c r="BB417" i="1"/>
  <c r="BB415" i="1" s="1"/>
  <c r="BA417" i="1"/>
  <c r="BA415" i="1" s="1"/>
  <c r="AZ417" i="1"/>
  <c r="AY417" i="1"/>
  <c r="AX417" i="1"/>
  <c r="AX415" i="1" s="1"/>
  <c r="AU417" i="1"/>
  <c r="AT417" i="1"/>
  <c r="AT415" i="1" s="1"/>
  <c r="AS417" i="1"/>
  <c r="AR417" i="1"/>
  <c r="AQ417" i="1"/>
  <c r="AO417" i="1"/>
  <c r="AO415" i="1" s="1"/>
  <c r="AN417" i="1"/>
  <c r="AL417" i="1"/>
  <c r="AK417" i="1"/>
  <c r="AJ417" i="1"/>
  <c r="AI417" i="1"/>
  <c r="AH417" i="1"/>
  <c r="AE417" i="1"/>
  <c r="AC417" i="1"/>
  <c r="AC415" i="1" s="1"/>
  <c r="AB417" i="1"/>
  <c r="Z417" i="1"/>
  <c r="S417" i="1"/>
  <c r="J417" i="1"/>
  <c r="J415" i="1" s="1"/>
  <c r="I417" i="1"/>
  <c r="F417" i="1"/>
  <c r="E417" i="1"/>
  <c r="E415" i="1" s="1"/>
  <c r="E413" i="1" s="1"/>
  <c r="BT416" i="1"/>
  <c r="BS416" i="1"/>
  <c r="BR416" i="1"/>
  <c r="BQ416" i="1"/>
  <c r="BP416" i="1"/>
  <c r="BP414" i="1" s="1"/>
  <c r="BP411" i="1" s="1"/>
  <c r="BO416" i="1"/>
  <c r="BN416" i="1"/>
  <c r="BN414" i="1" s="1"/>
  <c r="BL416" i="1"/>
  <c r="BK416" i="1"/>
  <c r="BJ416" i="1"/>
  <c r="BI416" i="1"/>
  <c r="BI414" i="1" s="1"/>
  <c r="BH416" i="1"/>
  <c r="BG416" i="1"/>
  <c r="BG414" i="1" s="1"/>
  <c r="BG411" i="1" s="1"/>
  <c r="BF416" i="1"/>
  <c r="BE416" i="1"/>
  <c r="BE414" i="1" s="1"/>
  <c r="BD416" i="1"/>
  <c r="BC416" i="1"/>
  <c r="BC414" i="1" s="1"/>
  <c r="BB416" i="1"/>
  <c r="BA416" i="1"/>
  <c r="BA414" i="1" s="1"/>
  <c r="AZ416" i="1"/>
  <c r="AY416" i="1"/>
  <c r="AY414" i="1" s="1"/>
  <c r="AX416" i="1"/>
  <c r="AW416" i="1"/>
  <c r="AW414" i="1" s="1"/>
  <c r="AV416" i="1"/>
  <c r="AU416" i="1"/>
  <c r="AT416" i="1"/>
  <c r="AS416" i="1"/>
  <c r="AS414" i="1" s="1"/>
  <c r="AQ416" i="1"/>
  <c r="AO416" i="1"/>
  <c r="AN416" i="1"/>
  <c r="AL416" i="1"/>
  <c r="AK416" i="1"/>
  <c r="AJ416" i="1"/>
  <c r="AI416" i="1"/>
  <c r="AR416" i="1" s="1"/>
  <c r="AH416" i="1"/>
  <c r="AF416" i="1"/>
  <c r="AE416" i="1"/>
  <c r="AC416" i="1"/>
  <c r="AC414" i="1" s="1"/>
  <c r="AC411" i="1" s="1"/>
  <c r="AB416" i="1"/>
  <c r="AA416" i="1"/>
  <c r="AA414" i="1" s="1"/>
  <c r="Z416" i="1"/>
  <c r="S416" i="1"/>
  <c r="P416" i="1"/>
  <c r="P414" i="1" s="1"/>
  <c r="N416" i="1"/>
  <c r="J416" i="1"/>
  <c r="J414" i="1" s="1"/>
  <c r="I416" i="1"/>
  <c r="I414" i="1" s="1"/>
  <c r="E416" i="1"/>
  <c r="BQ415" i="1"/>
  <c r="BQ413" i="1" s="1"/>
  <c r="BP415" i="1"/>
  <c r="BP412" i="1" s="1"/>
  <c r="BO415" i="1"/>
  <c r="BN415" i="1"/>
  <c r="BN412" i="1" s="1"/>
  <c r="BL415" i="1"/>
  <c r="BL413" i="1" s="1"/>
  <c r="BK415" i="1"/>
  <c r="BK413" i="1" s="1"/>
  <c r="BI415" i="1"/>
  <c r="BI412" i="1" s="1"/>
  <c r="BH415" i="1"/>
  <c r="BH413" i="1" s="1"/>
  <c r="BG415" i="1"/>
  <c r="BG413" i="1" s="1"/>
  <c r="BE415" i="1"/>
  <c r="BE412" i="1" s="1"/>
  <c r="BD415" i="1"/>
  <c r="BD413" i="1" s="1"/>
  <c r="BC415" i="1"/>
  <c r="AZ415" i="1"/>
  <c r="AZ413" i="1" s="1"/>
  <c r="AY415" i="1"/>
  <c r="AU415" i="1"/>
  <c r="AU413" i="1" s="1"/>
  <c r="AS415" i="1"/>
  <c r="AS412" i="1" s="1"/>
  <c r="AR415" i="1"/>
  <c r="AL415" i="1"/>
  <c r="AL413" i="1" s="1"/>
  <c r="AJ415" i="1"/>
  <c r="AI415" i="1"/>
  <c r="AF415" i="1"/>
  <c r="Z415" i="1"/>
  <c r="X415" i="1"/>
  <c r="W415" i="1"/>
  <c r="U415" i="1"/>
  <c r="U412" i="1" s="1"/>
  <c r="T415" i="1"/>
  <c r="R415" i="1"/>
  <c r="I415" i="1"/>
  <c r="H415" i="1"/>
  <c r="F415" i="1"/>
  <c r="F412" i="1" s="1"/>
  <c r="BQ414" i="1"/>
  <c r="BQ411" i="1" s="1"/>
  <c r="BO414" i="1"/>
  <c r="BL414" i="1"/>
  <c r="BL411" i="1" s="1"/>
  <c r="BK414" i="1"/>
  <c r="BK411" i="1" s="1"/>
  <c r="BJ414" i="1"/>
  <c r="BH414" i="1"/>
  <c r="BH411" i="1" s="1"/>
  <c r="BF414" i="1"/>
  <c r="BF411" i="1" s="1"/>
  <c r="BD414" i="1"/>
  <c r="BD411" i="1" s="1"/>
  <c r="BB414" i="1"/>
  <c r="AZ414" i="1"/>
  <c r="AZ411" i="1" s="1"/>
  <c r="AX414" i="1"/>
  <c r="AV414" i="1"/>
  <c r="AU414" i="1"/>
  <c r="AU411" i="1" s="1"/>
  <c r="AT414" i="1"/>
  <c r="AO414" i="1"/>
  <c r="AO411" i="1" s="1"/>
  <c r="AL414" i="1"/>
  <c r="AJ414" i="1"/>
  <c r="AI414" i="1"/>
  <c r="AR414" i="1" s="1"/>
  <c r="AF414" i="1"/>
  <c r="Z414" i="1"/>
  <c r="X414" i="1"/>
  <c r="W414" i="1"/>
  <c r="U414" i="1"/>
  <c r="T414" i="1"/>
  <c r="R414" i="1"/>
  <c r="O414" i="1"/>
  <c r="N414" i="1"/>
  <c r="H414" i="1"/>
  <c r="E414" i="1"/>
  <c r="BN413" i="1"/>
  <c r="BI413" i="1"/>
  <c r="BC413" i="1"/>
  <c r="AY413" i="1"/>
  <c r="AT413" i="1"/>
  <c r="AS413" i="1"/>
  <c r="AJ413" i="1"/>
  <c r="AI413" i="1"/>
  <c r="AR413" i="1" s="1"/>
  <c r="AC413" i="1"/>
  <c r="X413" i="1"/>
  <c r="W413" i="1"/>
  <c r="U413" i="1"/>
  <c r="I413" i="1"/>
  <c r="F413" i="1"/>
  <c r="BQ412" i="1"/>
  <c r="BL412" i="1"/>
  <c r="BK412" i="1"/>
  <c r="BH412" i="1"/>
  <c r="BG412" i="1"/>
  <c r="BD412" i="1"/>
  <c r="BC412" i="1"/>
  <c r="AY412" i="1"/>
  <c r="AU412" i="1"/>
  <c r="AT412" i="1"/>
  <c r="AL412" i="1"/>
  <c r="AJ412" i="1"/>
  <c r="AI412" i="1"/>
  <c r="AR412" i="1" s="1"/>
  <c r="AC412" i="1"/>
  <c r="X412" i="1"/>
  <c r="W412" i="1"/>
  <c r="I412" i="1"/>
  <c r="E412" i="1"/>
  <c r="BO411" i="1"/>
  <c r="BN411" i="1"/>
  <c r="BJ411" i="1"/>
  <c r="BC411" i="1"/>
  <c r="BB411" i="1"/>
  <c r="AY411" i="1"/>
  <c r="AX411" i="1"/>
  <c r="AV411" i="1"/>
  <c r="AT411" i="1"/>
  <c r="AR411" i="1"/>
  <c r="AL411" i="1"/>
  <c r="AJ411" i="1"/>
  <c r="AI411" i="1"/>
  <c r="AA411" i="1"/>
  <c r="Z411" i="1"/>
  <c r="W411" i="1"/>
  <c r="T411" i="1"/>
  <c r="Q411" i="1"/>
  <c r="P411" i="1"/>
  <c r="O411" i="1"/>
  <c r="N411" i="1"/>
  <c r="I411" i="1"/>
  <c r="E411" i="1"/>
  <c r="AW410" i="1"/>
  <c r="AL410" i="1"/>
  <c r="AT410" i="1" s="1"/>
  <c r="AG410" i="1"/>
  <c r="AF410" i="1"/>
  <c r="AD410" i="1"/>
  <c r="J410" i="1"/>
  <c r="F410" i="1"/>
  <c r="AW409" i="1"/>
  <c r="AL409" i="1"/>
  <c r="AT409" i="1" s="1"/>
  <c r="AG409" i="1"/>
  <c r="AF409" i="1"/>
  <c r="AD409" i="1"/>
  <c r="Q409" i="1"/>
  <c r="Q410" i="1" s="1"/>
  <c r="J409" i="1"/>
  <c r="F409" i="1"/>
  <c r="AX408" i="1"/>
  <c r="AW408" i="1"/>
  <c r="AR408" i="1"/>
  <c r="AN408" i="1"/>
  <c r="AQ408" i="1" s="1"/>
  <c r="AL408" i="1"/>
  <c r="AH408" i="1"/>
  <c r="AG408" i="1"/>
  <c r="AF408" i="1"/>
  <c r="AD408" i="1"/>
  <c r="P408" i="1"/>
  <c r="N408" i="1" s="1"/>
  <c r="N409" i="1" s="1"/>
  <c r="N410" i="1" s="1"/>
  <c r="O408" i="1"/>
  <c r="O409" i="1" s="1"/>
  <c r="O410" i="1" s="1"/>
  <c r="J408" i="1"/>
  <c r="F408" i="1"/>
  <c r="AL407" i="1"/>
  <c r="AT407" i="1" s="1"/>
  <c r="AG407" i="1"/>
  <c r="AF407" i="1"/>
  <c r="AD407" i="1"/>
  <c r="J407" i="1"/>
  <c r="F407" i="1"/>
  <c r="AL406" i="1"/>
  <c r="AF406" i="1"/>
  <c r="AD406" i="1"/>
  <c r="AG406" i="1" s="1"/>
  <c r="Q406" i="1"/>
  <c r="J406" i="1"/>
  <c r="F406" i="1"/>
  <c r="AX405" i="1"/>
  <c r="AW405" i="1"/>
  <c r="AQ405" i="1"/>
  <c r="AN405" i="1"/>
  <c r="AM405" i="1"/>
  <c r="AH405" i="1"/>
  <c r="AF405" i="1"/>
  <c r="AD405" i="1"/>
  <c r="AG405" i="1" s="1"/>
  <c r="P405" i="1"/>
  <c r="N405" i="1" s="1"/>
  <c r="O405" i="1"/>
  <c r="J405" i="1"/>
  <c r="F405" i="1"/>
  <c r="AT404" i="1"/>
  <c r="AL404" i="1"/>
  <c r="AL403" i="1" s="1"/>
  <c r="AV403" i="1" s="1"/>
  <c r="AF404" i="1"/>
  <c r="AD404" i="1"/>
  <c r="AG404" i="1" s="1"/>
  <c r="Q404" i="1"/>
  <c r="J404" i="1"/>
  <c r="F404" i="1"/>
  <c r="AT403" i="1"/>
  <c r="AM403" i="1"/>
  <c r="AF403" i="1"/>
  <c r="AD403" i="1"/>
  <c r="AG403" i="1" s="1"/>
  <c r="Q403" i="1"/>
  <c r="P403" i="1" s="1"/>
  <c r="N403" i="1" s="1"/>
  <c r="O403" i="1"/>
  <c r="J403" i="1"/>
  <c r="F403" i="1"/>
  <c r="AX402" i="1"/>
  <c r="AW402" i="1"/>
  <c r="AN402" i="1"/>
  <c r="AQ402" i="1" s="1"/>
  <c r="AO403" i="1" s="1"/>
  <c r="AM402" i="1"/>
  <c r="AH402" i="1"/>
  <c r="AF402" i="1"/>
  <c r="AD402" i="1"/>
  <c r="AG402" i="1" s="1"/>
  <c r="P402" i="1"/>
  <c r="O402" i="1"/>
  <c r="N402" i="1"/>
  <c r="J402" i="1"/>
  <c r="F402" i="1"/>
  <c r="AT401" i="1"/>
  <c r="AM401" i="1"/>
  <c r="AL401" i="1"/>
  <c r="AF401" i="1"/>
  <c r="AD401" i="1"/>
  <c r="AG401" i="1" s="1"/>
  <c r="J401" i="1"/>
  <c r="F401" i="1"/>
  <c r="AV400" i="1"/>
  <c r="AT400" i="1"/>
  <c r="AM400" i="1"/>
  <c r="AL400" i="1"/>
  <c r="AG400" i="1"/>
  <c r="AF400" i="1"/>
  <c r="AD400" i="1"/>
  <c r="AC400" i="1"/>
  <c r="Q400" i="1"/>
  <c r="P400" i="1"/>
  <c r="N400" i="1" s="1"/>
  <c r="J400" i="1"/>
  <c r="F400" i="1"/>
  <c r="AX399" i="1"/>
  <c r="AW399" i="1"/>
  <c r="AN399" i="1"/>
  <c r="AQ399" i="1" s="1"/>
  <c r="AL399" i="1"/>
  <c r="AH399" i="1"/>
  <c r="AF399" i="1"/>
  <c r="AD399" i="1"/>
  <c r="AG399" i="1" s="1"/>
  <c r="P399" i="1"/>
  <c r="N399" i="1" s="1"/>
  <c r="O399" i="1"/>
  <c r="J399" i="1"/>
  <c r="F399" i="1"/>
  <c r="AT398" i="1"/>
  <c r="AL398" i="1"/>
  <c r="AL397" i="1" s="1"/>
  <c r="AV397" i="1" s="1"/>
  <c r="AF398" i="1"/>
  <c r="AD398" i="1"/>
  <c r="AG398" i="1" s="1"/>
  <c r="Q398" i="1"/>
  <c r="J398" i="1"/>
  <c r="F398" i="1"/>
  <c r="AT397" i="1"/>
  <c r="AM397" i="1"/>
  <c r="AF397" i="1"/>
  <c r="AD397" i="1"/>
  <c r="AG397" i="1" s="1"/>
  <c r="AC397" i="1"/>
  <c r="Q397" i="1"/>
  <c r="P397" i="1"/>
  <c r="N397" i="1" s="1"/>
  <c r="O397" i="1"/>
  <c r="J397" i="1"/>
  <c r="F397" i="1"/>
  <c r="AX396" i="1"/>
  <c r="AN396" i="1"/>
  <c r="AQ396" i="1" s="1"/>
  <c r="AL396" i="1"/>
  <c r="AH396" i="1"/>
  <c r="AF396" i="1"/>
  <c r="AD396" i="1"/>
  <c r="AG396" i="1" s="1"/>
  <c r="P396" i="1"/>
  <c r="N396" i="1" s="1"/>
  <c r="O396" i="1"/>
  <c r="J396" i="1"/>
  <c r="F396" i="1"/>
  <c r="AT395" i="1"/>
  <c r="AL395" i="1"/>
  <c r="AF395" i="1"/>
  <c r="AD395" i="1"/>
  <c r="AG395" i="1" s="1"/>
  <c r="Q395" i="1"/>
  <c r="J395" i="1"/>
  <c r="F395" i="1"/>
  <c r="AF394" i="1"/>
  <c r="AD394" i="1"/>
  <c r="AG394" i="1" s="1"/>
  <c r="AC394" i="1"/>
  <c r="Q394" i="1"/>
  <c r="P394" i="1"/>
  <c r="N394" i="1" s="1"/>
  <c r="O394" i="1"/>
  <c r="J394" i="1"/>
  <c r="F394" i="1"/>
  <c r="AN393" i="1"/>
  <c r="AM393" i="1"/>
  <c r="AH393" i="1"/>
  <c r="AG393" i="1"/>
  <c r="AF393" i="1"/>
  <c r="AD393" i="1"/>
  <c r="P393" i="1"/>
  <c r="N393" i="1" s="1"/>
  <c r="O393" i="1"/>
  <c r="J393" i="1"/>
  <c r="F393" i="1"/>
  <c r="AL392" i="1"/>
  <c r="AG392" i="1"/>
  <c r="AF392" i="1"/>
  <c r="AD392" i="1"/>
  <c r="J392" i="1"/>
  <c r="F392" i="1"/>
  <c r="BO391" i="1"/>
  <c r="AC391" i="1"/>
  <c r="Q391" i="1"/>
  <c r="J391" i="1"/>
  <c r="F391" i="1"/>
  <c r="AX390" i="1"/>
  <c r="AN390" i="1"/>
  <c r="AM390" i="1"/>
  <c r="AL390" i="1"/>
  <c r="AH390" i="1"/>
  <c r="AG390" i="1"/>
  <c r="AF390" i="1"/>
  <c r="AD390" i="1"/>
  <c r="P390" i="1"/>
  <c r="O390" i="1"/>
  <c r="N390" i="1"/>
  <c r="J390" i="1"/>
  <c r="F390" i="1"/>
  <c r="AL389" i="1"/>
  <c r="AT389" i="1" s="1"/>
  <c r="AG389" i="1"/>
  <c r="AF389" i="1"/>
  <c r="AD389" i="1"/>
  <c r="J389" i="1"/>
  <c r="F389" i="1"/>
  <c r="AL388" i="1"/>
  <c r="AC388" i="1"/>
  <c r="Q388" i="1"/>
  <c r="J388" i="1"/>
  <c r="F388" i="1"/>
  <c r="AX387" i="1"/>
  <c r="AR387" i="1"/>
  <c r="AQ387" i="1"/>
  <c r="AN387" i="1"/>
  <c r="AM387" i="1"/>
  <c r="AL387" i="1"/>
  <c r="AH387" i="1"/>
  <c r="AG387" i="1"/>
  <c r="AF387" i="1"/>
  <c r="AD387" i="1"/>
  <c r="P387" i="1"/>
  <c r="O387" i="1"/>
  <c r="N387" i="1"/>
  <c r="J387" i="1"/>
  <c r="F387" i="1"/>
  <c r="AL386" i="1"/>
  <c r="AT386" i="1" s="1"/>
  <c r="AG386" i="1"/>
  <c r="AF386" i="1"/>
  <c r="AD386" i="1"/>
  <c r="J386" i="1"/>
  <c r="F386" i="1"/>
  <c r="AL385" i="1"/>
  <c r="AC385" i="1"/>
  <c r="Q385" i="1"/>
  <c r="J385" i="1"/>
  <c r="F385" i="1"/>
  <c r="AZ384" i="1"/>
  <c r="AX384" i="1"/>
  <c r="AN384" i="1"/>
  <c r="AM384" i="1"/>
  <c r="AL384" i="1"/>
  <c r="AH384" i="1"/>
  <c r="AG384" i="1"/>
  <c r="AF384" i="1"/>
  <c r="AD384" i="1"/>
  <c r="P384" i="1"/>
  <c r="O384" i="1"/>
  <c r="N384" i="1"/>
  <c r="J384" i="1"/>
  <c r="F384" i="1"/>
  <c r="AL383" i="1"/>
  <c r="AT383" i="1" s="1"/>
  <c r="AG383" i="1"/>
  <c r="AF383" i="1"/>
  <c r="AD383" i="1"/>
  <c r="J383" i="1"/>
  <c r="F383" i="1"/>
  <c r="AL382" i="1"/>
  <c r="AC382" i="1"/>
  <c r="Q382" i="1"/>
  <c r="J382" i="1"/>
  <c r="F382" i="1"/>
  <c r="AX381" i="1"/>
  <c r="AR381" i="1"/>
  <c r="AQ381" i="1"/>
  <c r="AN381" i="1"/>
  <c r="AM381" i="1"/>
  <c r="AL381" i="1"/>
  <c r="AH381" i="1"/>
  <c r="AG381" i="1"/>
  <c r="AF381" i="1"/>
  <c r="AD381" i="1"/>
  <c r="P381" i="1"/>
  <c r="O381" i="1"/>
  <c r="N381" i="1"/>
  <c r="J381" i="1"/>
  <c r="F381" i="1"/>
  <c r="BQ380" i="1"/>
  <c r="BP380" i="1"/>
  <c r="BO380" i="1"/>
  <c r="AT380" i="1"/>
  <c r="AM380" i="1"/>
  <c r="AL380" i="1"/>
  <c r="AG380" i="1"/>
  <c r="AF380" i="1"/>
  <c r="AD380" i="1"/>
  <c r="J380" i="1"/>
  <c r="I380" i="1"/>
  <c r="BQ379" i="1"/>
  <c r="BP379" i="1"/>
  <c r="BO379" i="1"/>
  <c r="AT379" i="1"/>
  <c r="AM379" i="1"/>
  <c r="AL379" i="1"/>
  <c r="AI379" i="1"/>
  <c r="AC379" i="1"/>
  <c r="Q379" i="1"/>
  <c r="Q380" i="1" s="1"/>
  <c r="J379" i="1"/>
  <c r="AX378" i="1"/>
  <c r="AQ378" i="1"/>
  <c r="AO379" i="1" s="1"/>
  <c r="AN378" i="1"/>
  <c r="AL378" i="1"/>
  <c r="AK378" i="1"/>
  <c r="AI378" i="1"/>
  <c r="AH378" i="1"/>
  <c r="AF378" i="1"/>
  <c r="AD378" i="1"/>
  <c r="AG378" i="1" s="1"/>
  <c r="P378" i="1"/>
  <c r="O378" i="1"/>
  <c r="J378" i="1"/>
  <c r="F378" i="1"/>
  <c r="E378" i="1"/>
  <c r="E379" i="1" s="1"/>
  <c r="AW377" i="1"/>
  <c r="AS377" i="1"/>
  <c r="AM377" i="1"/>
  <c r="AG377" i="1"/>
  <c r="AF377" i="1"/>
  <c r="AC377" i="1"/>
  <c r="AD377" i="1" s="1"/>
  <c r="P377" i="1"/>
  <c r="J377" i="1"/>
  <c r="F377" i="1"/>
  <c r="AW376" i="1"/>
  <c r="AO376" i="1"/>
  <c r="AL376" i="1"/>
  <c r="AM376" i="1" s="1"/>
  <c r="AF376" i="1"/>
  <c r="AC376" i="1"/>
  <c r="AD376" i="1" s="1"/>
  <c r="AG376" i="1" s="1"/>
  <c r="P376" i="1"/>
  <c r="N376" i="1"/>
  <c r="N377" i="1" s="1"/>
  <c r="J376" i="1"/>
  <c r="F376" i="1"/>
  <c r="AX375" i="1"/>
  <c r="AW375" i="1"/>
  <c r="AM375" i="1"/>
  <c r="AH375" i="1"/>
  <c r="AF375" i="1"/>
  <c r="AD375" i="1"/>
  <c r="AG375" i="1" s="1"/>
  <c r="Q375" i="1"/>
  <c r="Q376" i="1" s="1"/>
  <c r="Q377" i="1" s="1"/>
  <c r="O375" i="1"/>
  <c r="O376" i="1" s="1"/>
  <c r="O377" i="1" s="1"/>
  <c r="J375" i="1"/>
  <c r="F375" i="1"/>
  <c r="AL374" i="1"/>
  <c r="AJ374" i="1"/>
  <c r="AI374" i="1"/>
  <c r="AF374" i="1"/>
  <c r="AD374" i="1"/>
  <c r="AG374" i="1" s="1"/>
  <c r="AC374" i="1"/>
  <c r="J374" i="1"/>
  <c r="F374" i="1"/>
  <c r="AR373" i="1"/>
  <c r="AR374" i="1" s="1"/>
  <c r="AI373" i="1"/>
  <c r="AJ373" i="1" s="1"/>
  <c r="AC373" i="1"/>
  <c r="Q373" i="1"/>
  <c r="Q374" i="1" s="1"/>
  <c r="P374" i="1" s="1"/>
  <c r="N374" i="1" s="1"/>
  <c r="O373" i="1"/>
  <c r="J373" i="1"/>
  <c r="F373" i="1"/>
  <c r="AX372" i="1"/>
  <c r="AW372" i="1"/>
  <c r="AR372" i="1"/>
  <c r="AM372" i="1"/>
  <c r="AJ372" i="1"/>
  <c r="AH372" i="1"/>
  <c r="AF372" i="1"/>
  <c r="AE372" i="1"/>
  <c r="AD372" i="1"/>
  <c r="AG372" i="1" s="1"/>
  <c r="P372" i="1"/>
  <c r="O372" i="1"/>
  <c r="N372" i="1"/>
  <c r="J372" i="1"/>
  <c r="F372" i="1"/>
  <c r="AS371" i="1"/>
  <c r="AM371" i="1"/>
  <c r="AL371" i="1"/>
  <c r="AI371" i="1"/>
  <c r="AJ371" i="1" s="1"/>
  <c r="AC371" i="1"/>
  <c r="AF371" i="1" s="1"/>
  <c r="J371" i="1"/>
  <c r="F371" i="1"/>
  <c r="AV370" i="1"/>
  <c r="AW370" i="1" s="1"/>
  <c r="AS370" i="1"/>
  <c r="AR370" i="1"/>
  <c r="AR371" i="1" s="1"/>
  <c r="AM370" i="1"/>
  <c r="AL370" i="1"/>
  <c r="AI370" i="1"/>
  <c r="AJ370" i="1" s="1"/>
  <c r="AC370" i="1"/>
  <c r="AF370" i="1" s="1"/>
  <c r="Q370" i="1"/>
  <c r="J370" i="1"/>
  <c r="F370" i="1"/>
  <c r="AX369" i="1"/>
  <c r="AW369" i="1"/>
  <c r="AR369" i="1"/>
  <c r="AM369" i="1"/>
  <c r="AJ369" i="1"/>
  <c r="AH369" i="1"/>
  <c r="AG369" i="1"/>
  <c r="AF369" i="1"/>
  <c r="AE369" i="1"/>
  <c r="AD369" i="1"/>
  <c r="P369" i="1"/>
  <c r="N369" i="1" s="1"/>
  <c r="O369" i="1"/>
  <c r="J369" i="1"/>
  <c r="F369" i="1"/>
  <c r="AL368" i="1"/>
  <c r="AJ368" i="1"/>
  <c r="AI368" i="1"/>
  <c r="AG368" i="1"/>
  <c r="AF368" i="1"/>
  <c r="AD368" i="1"/>
  <c r="AC368" i="1"/>
  <c r="J368" i="1"/>
  <c r="F368" i="1"/>
  <c r="AR367" i="1"/>
  <c r="AR368" i="1" s="1"/>
  <c r="AJ367" i="1"/>
  <c r="AI367" i="1"/>
  <c r="AG367" i="1"/>
  <c r="AF367" i="1"/>
  <c r="AD367" i="1"/>
  <c r="AC367" i="1"/>
  <c r="Q367" i="1"/>
  <c r="O367" i="1" s="1"/>
  <c r="P367" i="1"/>
  <c r="N367" i="1" s="1"/>
  <c r="J367" i="1"/>
  <c r="F367" i="1"/>
  <c r="AX366" i="1"/>
  <c r="AW366" i="1"/>
  <c r="AR366" i="1"/>
  <c r="AM366" i="1"/>
  <c r="AJ366" i="1"/>
  <c r="AG366" i="1"/>
  <c r="AF366" i="1"/>
  <c r="AE366" i="1"/>
  <c r="AH366" i="1" s="1"/>
  <c r="AD366" i="1"/>
  <c r="P366" i="1"/>
  <c r="N366" i="1" s="1"/>
  <c r="O366" i="1"/>
  <c r="J366" i="1"/>
  <c r="F366" i="1"/>
  <c r="AL365" i="1"/>
  <c r="AS365" i="1" s="1"/>
  <c r="AJ365" i="1"/>
  <c r="AI365" i="1"/>
  <c r="AF365" i="1"/>
  <c r="AD365" i="1"/>
  <c r="AG365" i="1" s="1"/>
  <c r="AC365" i="1"/>
  <c r="J365" i="1"/>
  <c r="F365" i="1"/>
  <c r="AW364" i="1"/>
  <c r="AR364" i="1"/>
  <c r="AR365" i="1" s="1"/>
  <c r="AL364" i="1"/>
  <c r="AV364" i="1" s="1"/>
  <c r="AV365" i="1" s="1"/>
  <c r="AW365" i="1" s="1"/>
  <c r="AJ364" i="1"/>
  <c r="AI364" i="1"/>
  <c r="AF364" i="1"/>
  <c r="AD364" i="1"/>
  <c r="AG364" i="1" s="1"/>
  <c r="AC364" i="1"/>
  <c r="Q364" i="1"/>
  <c r="Q365" i="1" s="1"/>
  <c r="P365" i="1" s="1"/>
  <c r="N365" i="1" s="1"/>
  <c r="P364" i="1"/>
  <c r="N364" i="1" s="1"/>
  <c r="O364" i="1"/>
  <c r="J364" i="1"/>
  <c r="F364" i="1"/>
  <c r="AX363" i="1"/>
  <c r="AW363" i="1"/>
  <c r="AV363" i="1"/>
  <c r="AR363" i="1"/>
  <c r="AM363" i="1"/>
  <c r="AJ363" i="1"/>
  <c r="AG363" i="1"/>
  <c r="AF363" i="1"/>
  <c r="AE363" i="1"/>
  <c r="AH363" i="1" s="1"/>
  <c r="AD363" i="1"/>
  <c r="P363" i="1"/>
  <c r="N363" i="1" s="1"/>
  <c r="O363" i="1"/>
  <c r="J363" i="1"/>
  <c r="F363" i="1"/>
  <c r="AL362" i="1"/>
  <c r="AS362" i="1" s="1"/>
  <c r="AJ362" i="1"/>
  <c r="AI362" i="1"/>
  <c r="AF362" i="1"/>
  <c r="AD362" i="1"/>
  <c r="AG362" i="1" s="1"/>
  <c r="AC362" i="1"/>
  <c r="J362" i="1"/>
  <c r="F362" i="1"/>
  <c r="AR361" i="1"/>
  <c r="AR362" i="1" s="1"/>
  <c r="AL361" i="1"/>
  <c r="AO361" i="1" s="1"/>
  <c r="AO362" i="1" s="1"/>
  <c r="AJ361" i="1"/>
  <c r="AI361" i="1"/>
  <c r="AF361" i="1"/>
  <c r="AD361" i="1"/>
  <c r="AG361" i="1" s="1"/>
  <c r="AC361" i="1"/>
  <c r="Q361" i="1"/>
  <c r="Q362" i="1" s="1"/>
  <c r="P361" i="1"/>
  <c r="N361" i="1" s="1"/>
  <c r="O361" i="1"/>
  <c r="J361" i="1"/>
  <c r="F361" i="1"/>
  <c r="AR360" i="1"/>
  <c r="AM360" i="1"/>
  <c r="AJ360" i="1"/>
  <c r="AG360" i="1"/>
  <c r="AF360" i="1"/>
  <c r="AE360" i="1"/>
  <c r="AH360" i="1" s="1"/>
  <c r="AD360" i="1"/>
  <c r="P360" i="1"/>
  <c r="N360" i="1" s="1"/>
  <c r="O360" i="1"/>
  <c r="J360" i="1"/>
  <c r="F360" i="1"/>
  <c r="AL359" i="1"/>
  <c r="AJ359" i="1"/>
  <c r="AJ358" i="1" s="1"/>
  <c r="AI359" i="1"/>
  <c r="AI358" i="1" s="1"/>
  <c r="AF359" i="1"/>
  <c r="AD359" i="1"/>
  <c r="AC359" i="1"/>
  <c r="AC358" i="1" s="1"/>
  <c r="J359" i="1"/>
  <c r="F359" i="1"/>
  <c r="BO358" i="1"/>
  <c r="AR358" i="1"/>
  <c r="AR359" i="1" s="1"/>
  <c r="AF358" i="1"/>
  <c r="J358" i="1"/>
  <c r="F358" i="1"/>
  <c r="AX357" i="1"/>
  <c r="AR357" i="1"/>
  <c r="AM357" i="1"/>
  <c r="AG357" i="1"/>
  <c r="AF357" i="1"/>
  <c r="AE357" i="1"/>
  <c r="AH357" i="1" s="1"/>
  <c r="AD357" i="1"/>
  <c r="Q357" i="1"/>
  <c r="O357" i="1" s="1"/>
  <c r="P357" i="1"/>
  <c r="N357" i="1" s="1"/>
  <c r="J357" i="1"/>
  <c r="F357" i="1"/>
  <c r="AS356" i="1"/>
  <c r="AM356" i="1"/>
  <c r="AJ356" i="1"/>
  <c r="AI356" i="1"/>
  <c r="AD356" i="1"/>
  <c r="AG356" i="1" s="1"/>
  <c r="AC356" i="1"/>
  <c r="J356" i="1"/>
  <c r="F356" i="1"/>
  <c r="AO355" i="1"/>
  <c r="AM355" i="1"/>
  <c r="AL355" i="1"/>
  <c r="AS355" i="1" s="1"/>
  <c r="AJ355" i="1"/>
  <c r="Q355" i="1"/>
  <c r="J355" i="1"/>
  <c r="F355" i="1"/>
  <c r="AX354" i="1"/>
  <c r="AM354" i="1"/>
  <c r="AF354" i="1"/>
  <c r="AE354" i="1"/>
  <c r="AD354" i="1"/>
  <c r="AG354" i="1" s="1"/>
  <c r="AC354" i="1"/>
  <c r="P354" i="1"/>
  <c r="N354" i="1" s="1"/>
  <c r="O354" i="1"/>
  <c r="J354" i="1"/>
  <c r="F354" i="1"/>
  <c r="AS353" i="1"/>
  <c r="AM353" i="1"/>
  <c r="AI353" i="1"/>
  <c r="AC353" i="1"/>
  <c r="Q353" i="1"/>
  <c r="J353" i="1"/>
  <c r="F353" i="1"/>
  <c r="AS352" i="1"/>
  <c r="AL352" i="1"/>
  <c r="AJ352" i="1"/>
  <c r="AJ353" i="1" s="1"/>
  <c r="Q352" i="1"/>
  <c r="P352" i="1"/>
  <c r="N352" i="1" s="1"/>
  <c r="O352" i="1"/>
  <c r="J352" i="1"/>
  <c r="F352" i="1"/>
  <c r="AX351" i="1"/>
  <c r="AX360" i="1" s="1"/>
  <c r="AM351" i="1"/>
  <c r="AF351" i="1"/>
  <c r="AE351" i="1"/>
  <c r="AH351" i="1" s="1"/>
  <c r="AD351" i="1"/>
  <c r="AG351" i="1" s="1"/>
  <c r="P351" i="1"/>
  <c r="AV351" i="1" s="1"/>
  <c r="AW351" i="1" s="1"/>
  <c r="O351" i="1"/>
  <c r="N351" i="1"/>
  <c r="J351" i="1"/>
  <c r="F351" i="1"/>
  <c r="AS350" i="1"/>
  <c r="AM350" i="1"/>
  <c r="AI350" i="1"/>
  <c r="AF350" i="1"/>
  <c r="AD350" i="1"/>
  <c r="AG350" i="1" s="1"/>
  <c r="AC350" i="1"/>
  <c r="J350" i="1"/>
  <c r="F350" i="1"/>
  <c r="AO349" i="1"/>
  <c r="AM349" i="1"/>
  <c r="AL349" i="1"/>
  <c r="AS349" i="1" s="1"/>
  <c r="AJ349" i="1"/>
  <c r="AC349" i="1"/>
  <c r="Q349" i="1"/>
  <c r="J349" i="1"/>
  <c r="F349" i="1"/>
  <c r="AX348" i="1"/>
  <c r="AV348" i="1"/>
  <c r="AM348" i="1"/>
  <c r="AF348" i="1"/>
  <c r="AE348" i="1"/>
  <c r="AH348" i="1" s="1"/>
  <c r="AC348" i="1"/>
  <c r="P348" i="1"/>
  <c r="O348" i="1"/>
  <c r="J348" i="1"/>
  <c r="F348" i="1"/>
  <c r="BQ347" i="1"/>
  <c r="BP347" i="1"/>
  <c r="BO347" i="1"/>
  <c r="BO346" i="1" s="1"/>
  <c r="BO344" i="1" s="1"/>
  <c r="AS347" i="1"/>
  <c r="AP347" i="1"/>
  <c r="AO347" i="1"/>
  <c r="AM347" i="1"/>
  <c r="AI347" i="1"/>
  <c r="AJ347" i="1" s="1"/>
  <c r="AC347" i="1"/>
  <c r="E347" i="1"/>
  <c r="F347" i="1" s="1"/>
  <c r="BQ346" i="1"/>
  <c r="BP346" i="1"/>
  <c r="AV346" i="1"/>
  <c r="AO346" i="1"/>
  <c r="AP346" i="1" s="1"/>
  <c r="AM346" i="1"/>
  <c r="AL346" i="1"/>
  <c r="AS346" i="1" s="1"/>
  <c r="AJ346" i="1"/>
  <c r="Q346" i="1"/>
  <c r="P346" i="1"/>
  <c r="I346" i="1"/>
  <c r="F346" i="1"/>
  <c r="BW345" i="1"/>
  <c r="BX345" i="1" s="1"/>
  <c r="AX345" i="1"/>
  <c r="AM345" i="1"/>
  <c r="AJ345" i="1"/>
  <c r="AF345" i="1"/>
  <c r="AF343" i="1" s="1"/>
  <c r="AE345" i="1"/>
  <c r="AH345" i="1" s="1"/>
  <c r="AD345" i="1"/>
  <c r="AG345" i="1" s="1"/>
  <c r="P345" i="1"/>
  <c r="AV345" i="1" s="1"/>
  <c r="AW345" i="1" s="1"/>
  <c r="O345" i="1"/>
  <c r="N345" i="1"/>
  <c r="J345" i="1"/>
  <c r="F345" i="1"/>
  <c r="BQ344" i="1"/>
  <c r="BP344" i="1"/>
  <c r="BL344" i="1"/>
  <c r="BK344" i="1"/>
  <c r="BJ344" i="1"/>
  <c r="BI344" i="1"/>
  <c r="BH344" i="1"/>
  <c r="BG344" i="1"/>
  <c r="BF344" i="1"/>
  <c r="BE344" i="1"/>
  <c r="BD344" i="1"/>
  <c r="BC344" i="1"/>
  <c r="BB344" i="1"/>
  <c r="BA344" i="1"/>
  <c r="AZ344" i="1"/>
  <c r="AY344" i="1"/>
  <c r="AU344" i="1"/>
  <c r="AI344" i="1"/>
  <c r="AA344" i="1"/>
  <c r="Z344" i="1"/>
  <c r="X344" i="1"/>
  <c r="W344" i="1"/>
  <c r="U344" i="1"/>
  <c r="T344" i="1"/>
  <c r="I344" i="1"/>
  <c r="E344" i="1"/>
  <c r="BQ343" i="1"/>
  <c r="BP343" i="1"/>
  <c r="BO343" i="1"/>
  <c r="BK343" i="1"/>
  <c r="BJ343" i="1"/>
  <c r="BI343" i="1"/>
  <c r="BH343" i="1"/>
  <c r="BG343" i="1"/>
  <c r="BE343" i="1"/>
  <c r="BD343" i="1"/>
  <c r="BC343" i="1"/>
  <c r="BB343" i="1"/>
  <c r="BA343" i="1"/>
  <c r="AY343" i="1"/>
  <c r="AU343" i="1"/>
  <c r="AT343" i="1"/>
  <c r="AS343" i="1"/>
  <c r="AK343" i="1"/>
  <c r="AI343" i="1"/>
  <c r="AB343" i="1"/>
  <c r="AA343" i="1"/>
  <c r="Z343" i="1"/>
  <c r="Y343" i="1"/>
  <c r="X343" i="1"/>
  <c r="W343" i="1"/>
  <c r="V343" i="1"/>
  <c r="U343" i="1"/>
  <c r="T343" i="1"/>
  <c r="S343" i="1"/>
  <c r="Q343" i="1"/>
  <c r="I343" i="1"/>
  <c r="H343" i="1"/>
  <c r="E343" i="1"/>
  <c r="AR342" i="1"/>
  <c r="AL342" i="1"/>
  <c r="AD342" i="1"/>
  <c r="AG342" i="1" s="1"/>
  <c r="AC342" i="1"/>
  <c r="AF342" i="1" s="1"/>
  <c r="AV341" i="1"/>
  <c r="AW341" i="1" s="1"/>
  <c r="AT341" i="1"/>
  <c r="AR341" i="1"/>
  <c r="AM341" i="1"/>
  <c r="AG341" i="1"/>
  <c r="AF341" i="1"/>
  <c r="AD341" i="1"/>
  <c r="Q341" i="1"/>
  <c r="P341" i="1"/>
  <c r="N341" i="1" s="1"/>
  <c r="AW340" i="1"/>
  <c r="AR340" i="1"/>
  <c r="AN340" i="1"/>
  <c r="AQ340" i="1" s="1"/>
  <c r="AL340" i="1"/>
  <c r="AM340" i="1" s="1"/>
  <c r="AH340" i="1"/>
  <c r="AG340" i="1"/>
  <c r="AF340" i="1"/>
  <c r="AD340" i="1"/>
  <c r="P340" i="1"/>
  <c r="O340" i="1"/>
  <c r="N340" i="1"/>
  <c r="AT339" i="1"/>
  <c r="AR339" i="1"/>
  <c r="AL339" i="1"/>
  <c r="AC339" i="1"/>
  <c r="AF339" i="1" s="1"/>
  <c r="Q339" i="1"/>
  <c r="P339" i="1" s="1"/>
  <c r="N339" i="1" s="1"/>
  <c r="O339" i="1"/>
  <c r="AW338" i="1"/>
  <c r="AV338" i="1"/>
  <c r="AT338" i="1"/>
  <c r="AR338" i="1"/>
  <c r="AM338" i="1"/>
  <c r="AG338" i="1"/>
  <c r="AF338" i="1"/>
  <c r="AD338" i="1"/>
  <c r="Q338" i="1"/>
  <c r="O338" i="1" s="1"/>
  <c r="P338" i="1"/>
  <c r="N338" i="1" s="1"/>
  <c r="AW337" i="1"/>
  <c r="AR337" i="1"/>
  <c r="AQ337" i="1"/>
  <c r="AN337" i="1"/>
  <c r="AM337" i="1"/>
  <c r="AH337" i="1"/>
  <c r="AG337" i="1"/>
  <c r="AF337" i="1"/>
  <c r="AD337" i="1"/>
  <c r="P337" i="1"/>
  <c r="N337" i="1" s="1"/>
  <c r="O337" i="1"/>
  <c r="AV336" i="1"/>
  <c r="AW336" i="1" s="1"/>
  <c r="AT336" i="1"/>
  <c r="AR336" i="1"/>
  <c r="AM336" i="1"/>
  <c r="AL336" i="1"/>
  <c r="AF336" i="1"/>
  <c r="AD336" i="1"/>
  <c r="AG336" i="1" s="1"/>
  <c r="AC336" i="1"/>
  <c r="AW335" i="1"/>
  <c r="AV335" i="1"/>
  <c r="AT335" i="1"/>
  <c r="AR335" i="1"/>
  <c r="AM335" i="1"/>
  <c r="AF335" i="1"/>
  <c r="AD335" i="1"/>
  <c r="AG335" i="1" s="1"/>
  <c r="Q335" i="1"/>
  <c r="P335" i="1" s="1"/>
  <c r="O335" i="1"/>
  <c r="N335" i="1"/>
  <c r="AW334" i="1"/>
  <c r="AR334" i="1"/>
  <c r="AQ334" i="1"/>
  <c r="AN334" i="1"/>
  <c r="AM334" i="1"/>
  <c r="AH334" i="1"/>
  <c r="AF334" i="1"/>
  <c r="AD334" i="1"/>
  <c r="AG334" i="1" s="1"/>
  <c r="P334" i="1"/>
  <c r="O334" i="1"/>
  <c r="N334" i="1"/>
  <c r="AR333" i="1"/>
  <c r="AL333" i="1"/>
  <c r="AG333" i="1"/>
  <c r="AF333" i="1"/>
  <c r="AC333" i="1"/>
  <c r="AD333" i="1" s="1"/>
  <c r="Q333" i="1"/>
  <c r="O333" i="1" s="1"/>
  <c r="P333" i="1"/>
  <c r="N333" i="1"/>
  <c r="AV332" i="1"/>
  <c r="AW332" i="1" s="1"/>
  <c r="AT332" i="1"/>
  <c r="AR332" i="1"/>
  <c r="AM332" i="1"/>
  <c r="AG332" i="1"/>
  <c r="AF332" i="1"/>
  <c r="AD332" i="1"/>
  <c r="Q332" i="1"/>
  <c r="P332" i="1"/>
  <c r="N332" i="1" s="1"/>
  <c r="O332" i="1"/>
  <c r="AW331" i="1"/>
  <c r="AW320" i="1" s="1"/>
  <c r="AR331" i="1"/>
  <c r="AN331" i="1"/>
  <c r="AQ331" i="1" s="1"/>
  <c r="AM331" i="1"/>
  <c r="AH331" i="1"/>
  <c r="AG331" i="1"/>
  <c r="AF331" i="1"/>
  <c r="AD331" i="1"/>
  <c r="P331" i="1"/>
  <c r="O331" i="1"/>
  <c r="N331" i="1"/>
  <c r="AR330" i="1"/>
  <c r="AL330" i="1"/>
  <c r="AV330" i="1" s="1"/>
  <c r="AW330" i="1" s="1"/>
  <c r="AF330" i="1"/>
  <c r="AD330" i="1"/>
  <c r="AG330" i="1" s="1"/>
  <c r="AC330" i="1"/>
  <c r="AV329" i="1"/>
  <c r="AW329" i="1" s="1"/>
  <c r="AT329" i="1"/>
  <c r="AR329" i="1"/>
  <c r="AM329" i="1"/>
  <c r="AF329" i="1"/>
  <c r="AD329" i="1"/>
  <c r="AG329" i="1" s="1"/>
  <c r="Q329" i="1"/>
  <c r="P329" i="1"/>
  <c r="N329" i="1"/>
  <c r="AW328" i="1"/>
  <c r="AR328" i="1"/>
  <c r="AQ328" i="1"/>
  <c r="AO329" i="1" s="1"/>
  <c r="AN328" i="1"/>
  <c r="AM328" i="1"/>
  <c r="AL328" i="1"/>
  <c r="AL320" i="1" s="1"/>
  <c r="AH328" i="1"/>
  <c r="AF328" i="1"/>
  <c r="AD328" i="1"/>
  <c r="AG328" i="1" s="1"/>
  <c r="P328" i="1"/>
  <c r="N328" i="1" s="1"/>
  <c r="O328" i="1"/>
  <c r="AV327" i="1"/>
  <c r="AW327" i="1" s="1"/>
  <c r="AR327" i="1"/>
  <c r="AL327" i="1"/>
  <c r="AC327" i="1"/>
  <c r="Q327" i="1"/>
  <c r="AW326" i="1"/>
  <c r="AV326" i="1"/>
  <c r="AT326" i="1"/>
  <c r="AR326" i="1"/>
  <c r="AM326" i="1"/>
  <c r="AF326" i="1"/>
  <c r="AF321" i="1" s="1"/>
  <c r="AD326" i="1"/>
  <c r="AG326" i="1" s="1"/>
  <c r="Q326" i="1"/>
  <c r="P326" i="1"/>
  <c r="O326" i="1"/>
  <c r="N326" i="1"/>
  <c r="AW325" i="1"/>
  <c r="AR325" i="1"/>
  <c r="AN325" i="1"/>
  <c r="AQ325" i="1" s="1"/>
  <c r="AM325" i="1"/>
  <c r="AH325" i="1"/>
  <c r="AH320" i="1" s="1"/>
  <c r="AG325" i="1"/>
  <c r="AF325" i="1"/>
  <c r="AD325" i="1"/>
  <c r="P325" i="1"/>
  <c r="N325" i="1" s="1"/>
  <c r="O325" i="1"/>
  <c r="AV324" i="1"/>
  <c r="AW324" i="1" s="1"/>
  <c r="AM324" i="1"/>
  <c r="AL324" i="1"/>
  <c r="AT324" i="1" s="1"/>
  <c r="AF324" i="1"/>
  <c r="AC324" i="1"/>
  <c r="AD324" i="1" s="1"/>
  <c r="AG324" i="1" s="1"/>
  <c r="I324" i="1"/>
  <c r="AV323" i="1"/>
  <c r="AV321" i="1" s="1"/>
  <c r="AO323" i="1"/>
  <c r="AL323" i="1"/>
  <c r="AT323" i="1" s="1"/>
  <c r="AJ323" i="1"/>
  <c r="AJ324" i="1" s="1"/>
  <c r="AI323" i="1"/>
  <c r="AF323" i="1"/>
  <c r="AD323" i="1"/>
  <c r="AG323" i="1" s="1"/>
  <c r="J323" i="1"/>
  <c r="I323" i="1"/>
  <c r="E323" i="1"/>
  <c r="AW322" i="1"/>
  <c r="AQ322" i="1"/>
  <c r="AN322" i="1"/>
  <c r="AN320" i="1" s="1"/>
  <c r="AM322" i="1"/>
  <c r="AM320" i="1" s="1"/>
  <c r="AK322" i="1"/>
  <c r="AI322" i="1"/>
  <c r="BL334" i="1" s="1"/>
  <c r="AH322" i="1"/>
  <c r="AF322" i="1"/>
  <c r="AD322" i="1"/>
  <c r="AG322" i="1" s="1"/>
  <c r="Q322" i="1"/>
  <c r="J322" i="1"/>
  <c r="J320" i="1" s="1"/>
  <c r="E322" i="1"/>
  <c r="F322" i="1" s="1"/>
  <c r="BQ321" i="1"/>
  <c r="BP321" i="1"/>
  <c r="BO321" i="1"/>
  <c r="BL321" i="1"/>
  <c r="BK321" i="1"/>
  <c r="BJ321" i="1"/>
  <c r="BI321" i="1"/>
  <c r="BH321" i="1"/>
  <c r="BG321" i="1"/>
  <c r="BF321" i="1"/>
  <c r="BE321" i="1"/>
  <c r="BD321" i="1"/>
  <c r="BC321" i="1"/>
  <c r="BB321" i="1"/>
  <c r="BA321" i="1"/>
  <c r="AZ321" i="1"/>
  <c r="AY321" i="1"/>
  <c r="AX321" i="1"/>
  <c r="AU321" i="1"/>
  <c r="AT321" i="1"/>
  <c r="AS321" i="1"/>
  <c r="AL321" i="1"/>
  <c r="AJ321" i="1"/>
  <c r="AI321" i="1"/>
  <c r="AR321" i="1" s="1"/>
  <c r="AD321" i="1"/>
  <c r="AC321" i="1"/>
  <c r="AA321" i="1"/>
  <c r="Z321" i="1"/>
  <c r="X321" i="1"/>
  <c r="W321" i="1"/>
  <c r="U321" i="1"/>
  <c r="T321" i="1"/>
  <c r="I321" i="1"/>
  <c r="BQ320" i="1"/>
  <c r="BP320" i="1"/>
  <c r="BO320" i="1"/>
  <c r="BK320" i="1"/>
  <c r="BJ320" i="1"/>
  <c r="BI320" i="1"/>
  <c r="BH320" i="1"/>
  <c r="BG320" i="1"/>
  <c r="BF320" i="1"/>
  <c r="BE320" i="1"/>
  <c r="BD320" i="1"/>
  <c r="BC320" i="1"/>
  <c r="BB320" i="1"/>
  <c r="BA320" i="1"/>
  <c r="AX320" i="1"/>
  <c r="AV320" i="1"/>
  <c r="AU320" i="1"/>
  <c r="AT320" i="1"/>
  <c r="AS320" i="1"/>
  <c r="AQ320" i="1"/>
  <c r="AK320" i="1"/>
  <c r="AF320" i="1"/>
  <c r="AE320" i="1"/>
  <c r="AD320" i="1"/>
  <c r="AC320" i="1"/>
  <c r="AB320" i="1"/>
  <c r="AA320" i="1"/>
  <c r="Z320" i="1"/>
  <c r="Y320" i="1"/>
  <c r="X320" i="1"/>
  <c r="W320" i="1"/>
  <c r="V320" i="1"/>
  <c r="U320" i="1"/>
  <c r="T320" i="1"/>
  <c r="S320" i="1"/>
  <c r="I320" i="1"/>
  <c r="H320" i="1"/>
  <c r="F320" i="1"/>
  <c r="E320" i="1"/>
  <c r="AT319" i="1"/>
  <c r="AR319" i="1"/>
  <c r="AM319" i="1"/>
  <c r="AL319" i="1"/>
  <c r="AV319" i="1" s="1"/>
  <c r="AW319" i="1" s="1"/>
  <c r="AD319" i="1"/>
  <c r="AG319" i="1" s="1"/>
  <c r="AC319" i="1"/>
  <c r="AF319" i="1" s="1"/>
  <c r="AV318" i="1"/>
  <c r="AW318" i="1" s="1"/>
  <c r="AT318" i="1"/>
  <c r="AR318" i="1"/>
  <c r="AM318" i="1"/>
  <c r="AG318" i="1"/>
  <c r="AF318" i="1"/>
  <c r="AD318" i="1"/>
  <c r="Q318" i="1"/>
  <c r="P318" i="1"/>
  <c r="N318" i="1" s="1"/>
  <c r="AW317" i="1"/>
  <c r="AR317" i="1"/>
  <c r="AQ317" i="1"/>
  <c r="AN317" i="1"/>
  <c r="AM317" i="1"/>
  <c r="AH317" i="1"/>
  <c r="AF317" i="1"/>
  <c r="AD317" i="1"/>
  <c r="AG317" i="1" s="1"/>
  <c r="P317" i="1"/>
  <c r="N317" i="1" s="1"/>
  <c r="O317" i="1"/>
  <c r="AW316" i="1"/>
  <c r="AV316" i="1"/>
  <c r="AR316" i="1"/>
  <c r="AL316" i="1"/>
  <c r="AT316" i="1" s="1"/>
  <c r="AG316" i="1"/>
  <c r="AF316" i="1"/>
  <c r="AC316" i="1"/>
  <c r="AD316" i="1" s="1"/>
  <c r="Q316" i="1"/>
  <c r="O316" i="1" s="1"/>
  <c r="P316" i="1"/>
  <c r="N316" i="1" s="1"/>
  <c r="AV315" i="1"/>
  <c r="AW315" i="1" s="1"/>
  <c r="AT315" i="1"/>
  <c r="AR315" i="1"/>
  <c r="AM315" i="1"/>
  <c r="AF315" i="1"/>
  <c r="AD315" i="1"/>
  <c r="AG315" i="1" s="1"/>
  <c r="Q315" i="1"/>
  <c r="P315" i="1"/>
  <c r="O315" i="1"/>
  <c r="N315" i="1"/>
  <c r="AW314" i="1"/>
  <c r="AR314" i="1"/>
  <c r="AO314" i="1"/>
  <c r="AP314" i="1" s="1"/>
  <c r="AN314" i="1"/>
  <c r="AQ314" i="1" s="1"/>
  <c r="AM314" i="1"/>
  <c r="AH314" i="1"/>
  <c r="AG314" i="1"/>
  <c r="AF314" i="1"/>
  <c r="AD314" i="1"/>
  <c r="P314" i="1"/>
  <c r="O314" i="1"/>
  <c r="N314" i="1"/>
  <c r="AT313" i="1"/>
  <c r="AR313" i="1"/>
  <c r="AM313" i="1"/>
  <c r="AL313" i="1"/>
  <c r="AV313" i="1" s="1"/>
  <c r="AW313" i="1" s="1"/>
  <c r="AD313" i="1"/>
  <c r="AG313" i="1" s="1"/>
  <c r="AC313" i="1"/>
  <c r="AF313" i="1" s="1"/>
  <c r="AV312" i="1"/>
  <c r="AW312" i="1" s="1"/>
  <c r="AT312" i="1"/>
  <c r="AR312" i="1"/>
  <c r="AM312" i="1"/>
  <c r="AG312" i="1"/>
  <c r="AF312" i="1"/>
  <c r="AD312" i="1"/>
  <c r="Q312" i="1"/>
  <c r="P312" i="1"/>
  <c r="N312" i="1" s="1"/>
  <c r="AZ311" i="1"/>
  <c r="AW311" i="1"/>
  <c r="AR311" i="1"/>
  <c r="AQ311" i="1"/>
  <c r="AN311" i="1"/>
  <c r="AM311" i="1"/>
  <c r="AH311" i="1"/>
  <c r="AF311" i="1"/>
  <c r="AD311" i="1"/>
  <c r="AG311" i="1" s="1"/>
  <c r="P311" i="1"/>
  <c r="N311" i="1" s="1"/>
  <c r="O311" i="1"/>
  <c r="AW310" i="1"/>
  <c r="AV310" i="1"/>
  <c r="AR310" i="1"/>
  <c r="AL310" i="1"/>
  <c r="AT310" i="1" s="1"/>
  <c r="AF310" i="1"/>
  <c r="AC310" i="1"/>
  <c r="AD310" i="1" s="1"/>
  <c r="AG310" i="1" s="1"/>
  <c r="AV309" i="1"/>
  <c r="AW309" i="1" s="1"/>
  <c r="AT309" i="1"/>
  <c r="AR309" i="1"/>
  <c r="AM309" i="1"/>
  <c r="AF309" i="1"/>
  <c r="AF304" i="1" s="1"/>
  <c r="AD309" i="1"/>
  <c r="AW308" i="1"/>
  <c r="AR308" i="1"/>
  <c r="AN308" i="1"/>
  <c r="AL308" i="1"/>
  <c r="AM308" i="1" s="1"/>
  <c r="AH308" i="1"/>
  <c r="AG308" i="1"/>
  <c r="AG303" i="1" s="1"/>
  <c r="AF308" i="1"/>
  <c r="AD308" i="1"/>
  <c r="S308" i="1"/>
  <c r="Q308" i="1"/>
  <c r="AL307" i="1"/>
  <c r="AF307" i="1"/>
  <c r="AD307" i="1"/>
  <c r="AG307" i="1" s="1"/>
  <c r="AC307" i="1"/>
  <c r="I307" i="1"/>
  <c r="AV306" i="1"/>
  <c r="AT306" i="1"/>
  <c r="AO306" i="1"/>
  <c r="AM306" i="1"/>
  <c r="AL306" i="1"/>
  <c r="AI306" i="1"/>
  <c r="AG306" i="1"/>
  <c r="AF306" i="1"/>
  <c r="AD306" i="1"/>
  <c r="J306" i="1"/>
  <c r="AY305" i="1"/>
  <c r="AY303" i="1" s="1"/>
  <c r="AW305" i="1"/>
  <c r="AQ305" i="1"/>
  <c r="AN305" i="1"/>
  <c r="AM305" i="1"/>
  <c r="AK305" i="1"/>
  <c r="AZ317" i="1" s="1"/>
  <c r="AI305" i="1"/>
  <c r="AJ305" i="1" s="1"/>
  <c r="AJ303" i="1" s="1"/>
  <c r="AH305" i="1"/>
  <c r="AH303" i="1" s="1"/>
  <c r="AG305" i="1"/>
  <c r="AF305" i="1"/>
  <c r="AD305" i="1"/>
  <c r="Q305" i="1"/>
  <c r="J305" i="1"/>
  <c r="J303" i="1" s="1"/>
  <c r="F305" i="1"/>
  <c r="E305" i="1"/>
  <c r="E306" i="1" s="1"/>
  <c r="BQ304" i="1"/>
  <c r="BP304" i="1"/>
  <c r="BO304" i="1"/>
  <c r="BL304" i="1"/>
  <c r="BK304" i="1"/>
  <c r="BJ304" i="1"/>
  <c r="BI304" i="1"/>
  <c r="BH304" i="1"/>
  <c r="BG304" i="1"/>
  <c r="BF304" i="1"/>
  <c r="BE304" i="1"/>
  <c r="BD304" i="1"/>
  <c r="BC304" i="1"/>
  <c r="BB304" i="1"/>
  <c r="BA304" i="1"/>
  <c r="AZ304" i="1"/>
  <c r="AY304" i="1"/>
  <c r="AX304" i="1"/>
  <c r="AU304" i="1"/>
  <c r="AT304" i="1"/>
  <c r="AS304" i="1"/>
  <c r="AM304" i="1"/>
  <c r="AL304" i="1"/>
  <c r="AI304" i="1"/>
  <c r="AR304" i="1" s="1"/>
  <c r="AC304" i="1"/>
  <c r="AA304" i="1"/>
  <c r="Z304" i="1"/>
  <c r="X304" i="1"/>
  <c r="W304" i="1"/>
  <c r="U304" i="1"/>
  <c r="T304" i="1"/>
  <c r="I304" i="1"/>
  <c r="BQ303" i="1"/>
  <c r="BP303" i="1"/>
  <c r="BO303" i="1"/>
  <c r="BK303" i="1"/>
  <c r="BJ303" i="1"/>
  <c r="BI303" i="1"/>
  <c r="BH303" i="1"/>
  <c r="BG303" i="1"/>
  <c r="BF303" i="1"/>
  <c r="BE303" i="1"/>
  <c r="BD303" i="1"/>
  <c r="BC303" i="1"/>
  <c r="BB303" i="1"/>
  <c r="BA303" i="1"/>
  <c r="AX303" i="1"/>
  <c r="AW303" i="1"/>
  <c r="AV303" i="1"/>
  <c r="AU303" i="1"/>
  <c r="AT303" i="1"/>
  <c r="AS303" i="1"/>
  <c r="AL303" i="1"/>
  <c r="AK303" i="1"/>
  <c r="AI303" i="1"/>
  <c r="AF303" i="1"/>
  <c r="AE303" i="1"/>
  <c r="AD303" i="1"/>
  <c r="AC303" i="1"/>
  <c r="AB303" i="1"/>
  <c r="AA303" i="1"/>
  <c r="Z303" i="1"/>
  <c r="Y303" i="1"/>
  <c r="X303" i="1"/>
  <c r="W303" i="1"/>
  <c r="V303" i="1"/>
  <c r="U303" i="1"/>
  <c r="T303" i="1"/>
  <c r="S303" i="1"/>
  <c r="Q303" i="1"/>
  <c r="I303" i="1"/>
  <c r="H303" i="1"/>
  <c r="F303" i="1"/>
  <c r="E303" i="1"/>
  <c r="AW302" i="1"/>
  <c r="AR302" i="1"/>
  <c r="AM302" i="1"/>
  <c r="AL302" i="1"/>
  <c r="AV302" i="1" s="1"/>
  <c r="AC302" i="1"/>
  <c r="AW301" i="1"/>
  <c r="AV301" i="1"/>
  <c r="AT301" i="1"/>
  <c r="AR301" i="1"/>
  <c r="AP301" i="1"/>
  <c r="AP302" i="1" s="1"/>
  <c r="AO301" i="1"/>
  <c r="AO302" i="1" s="1"/>
  <c r="AM301" i="1"/>
  <c r="AG301" i="1"/>
  <c r="AF301" i="1"/>
  <c r="AD301" i="1"/>
  <c r="Q301" i="1"/>
  <c r="Q302" i="1" s="1"/>
  <c r="O301" i="1"/>
  <c r="AW300" i="1"/>
  <c r="AR300" i="1"/>
  <c r="AQ300" i="1"/>
  <c r="AO300" i="1"/>
  <c r="AP300" i="1" s="1"/>
  <c r="AM300" i="1"/>
  <c r="AH300" i="1"/>
  <c r="AF300" i="1"/>
  <c r="AD300" i="1"/>
  <c r="AG300" i="1" s="1"/>
  <c r="P300" i="1"/>
  <c r="N300" i="1" s="1"/>
  <c r="O300" i="1"/>
  <c r="AR299" i="1"/>
  <c r="AO299" i="1"/>
  <c r="AL299" i="1"/>
  <c r="AJ299" i="1"/>
  <c r="AI299" i="1"/>
  <c r="AF299" i="1"/>
  <c r="AC299" i="1"/>
  <c r="AD299" i="1" s="1"/>
  <c r="AG299" i="1" s="1"/>
  <c r="AV298" i="1"/>
  <c r="AW298" i="1" s="1"/>
  <c r="AT298" i="1"/>
  <c r="AR298" i="1"/>
  <c r="AO298" i="1"/>
  <c r="AP298" i="1" s="1"/>
  <c r="AP299" i="1" s="1"/>
  <c r="AM298" i="1"/>
  <c r="AJ298" i="1"/>
  <c r="AF298" i="1"/>
  <c r="AF293" i="1" s="1"/>
  <c r="AD298" i="1"/>
  <c r="AG298" i="1" s="1"/>
  <c r="Q298" i="1"/>
  <c r="O298" i="1" s="1"/>
  <c r="AW297" i="1"/>
  <c r="AR297" i="1"/>
  <c r="AQ297" i="1"/>
  <c r="AP297" i="1"/>
  <c r="AO297" i="1"/>
  <c r="AM297" i="1"/>
  <c r="AH297" i="1"/>
  <c r="AG297" i="1"/>
  <c r="AF297" i="1"/>
  <c r="AD297" i="1"/>
  <c r="P297" i="1"/>
  <c r="N297" i="1" s="1"/>
  <c r="O297" i="1"/>
  <c r="AJ296" i="1"/>
  <c r="AI296" i="1"/>
  <c r="AC296" i="1"/>
  <c r="Q296" i="1"/>
  <c r="P296" i="1" s="1"/>
  <c r="N296" i="1" s="1"/>
  <c r="O296" i="1"/>
  <c r="J296" i="1"/>
  <c r="I296" i="1"/>
  <c r="AR295" i="1"/>
  <c r="AM295" i="1"/>
  <c r="AL295" i="1"/>
  <c r="AJ295" i="1"/>
  <c r="AI295" i="1"/>
  <c r="AG295" i="1"/>
  <c r="AF295" i="1"/>
  <c r="AD295" i="1"/>
  <c r="O295" i="1"/>
  <c r="O293" i="1" s="1"/>
  <c r="J295" i="1"/>
  <c r="E295" i="1"/>
  <c r="AW294" i="1"/>
  <c r="AR294" i="1"/>
  <c r="AN294" i="1"/>
  <c r="AL294" i="1"/>
  <c r="AK294" i="1"/>
  <c r="AJ294" i="1"/>
  <c r="AJ292" i="1" s="1"/>
  <c r="AI294" i="1"/>
  <c r="AZ297" i="1" s="1"/>
  <c r="AH294" i="1"/>
  <c r="AF294" i="1"/>
  <c r="AF292" i="1" s="1"/>
  <c r="AD294" i="1"/>
  <c r="AG294" i="1" s="1"/>
  <c r="AG292" i="1" s="1"/>
  <c r="S294" i="1"/>
  <c r="Q294" i="1"/>
  <c r="Q295" i="1" s="1"/>
  <c r="P295" i="1" s="1"/>
  <c r="P294" i="1"/>
  <c r="N294" i="1" s="1"/>
  <c r="N292" i="1" s="1"/>
  <c r="O294" i="1"/>
  <c r="J294" i="1"/>
  <c r="F294" i="1"/>
  <c r="F292" i="1" s="1"/>
  <c r="E294" i="1"/>
  <c r="E292" i="1" s="1"/>
  <c r="BQ293" i="1"/>
  <c r="BP293" i="1"/>
  <c r="BO293" i="1"/>
  <c r="BL293" i="1"/>
  <c r="BK293" i="1"/>
  <c r="BJ293" i="1"/>
  <c r="BI293" i="1"/>
  <c r="BH293" i="1"/>
  <c r="BG293" i="1"/>
  <c r="BF293" i="1"/>
  <c r="BE293" i="1"/>
  <c r="BD293" i="1"/>
  <c r="BC293" i="1"/>
  <c r="BB293" i="1"/>
  <c r="BA293" i="1"/>
  <c r="AZ293" i="1"/>
  <c r="AY293" i="1"/>
  <c r="AX293" i="1"/>
  <c r="AU293" i="1"/>
  <c r="AS293" i="1"/>
  <c r="AM293" i="1"/>
  <c r="AL293" i="1"/>
  <c r="AR293" i="1" s="1"/>
  <c r="AJ293" i="1"/>
  <c r="AI293" i="1"/>
  <c r="AG293" i="1"/>
  <c r="AD293" i="1"/>
  <c r="AC293" i="1"/>
  <c r="AA293" i="1"/>
  <c r="Z293" i="1"/>
  <c r="X293" i="1"/>
  <c r="W293" i="1"/>
  <c r="U293" i="1"/>
  <c r="T293" i="1"/>
  <c r="Q293" i="1"/>
  <c r="J293" i="1"/>
  <c r="I293" i="1"/>
  <c r="BQ292" i="1"/>
  <c r="BP292" i="1"/>
  <c r="BO292" i="1"/>
  <c r="BL292" i="1"/>
  <c r="BK292" i="1"/>
  <c r="BJ292" i="1"/>
  <c r="BI292" i="1"/>
  <c r="BH292" i="1"/>
  <c r="BG292" i="1"/>
  <c r="BF292" i="1"/>
  <c r="BE292" i="1"/>
  <c r="BD292" i="1"/>
  <c r="BC292" i="1"/>
  <c r="BB292" i="1"/>
  <c r="BA292" i="1"/>
  <c r="AX292" i="1"/>
  <c r="AW292" i="1"/>
  <c r="AV292" i="1"/>
  <c r="AU292" i="1"/>
  <c r="AT292" i="1"/>
  <c r="AS292" i="1"/>
  <c r="AK292" i="1"/>
  <c r="AI292" i="1"/>
  <c r="AE292" i="1"/>
  <c r="AC292" i="1"/>
  <c r="AB292" i="1"/>
  <c r="AA292" i="1"/>
  <c r="Z292" i="1"/>
  <c r="Y292" i="1"/>
  <c r="X292" i="1"/>
  <c r="W292" i="1"/>
  <c r="V292" i="1"/>
  <c r="U292" i="1"/>
  <c r="T292" i="1"/>
  <c r="S292" i="1"/>
  <c r="Q292" i="1"/>
  <c r="O292" i="1"/>
  <c r="J292" i="1"/>
  <c r="I292" i="1"/>
  <c r="H292" i="1"/>
  <c r="AJ291" i="1"/>
  <c r="AI291" i="1"/>
  <c r="AR291" i="1" s="1"/>
  <c r="AD291" i="1"/>
  <c r="AG291" i="1" s="1"/>
  <c r="AC291" i="1"/>
  <c r="AF291" i="1" s="1"/>
  <c r="AT290" i="1"/>
  <c r="AR290" i="1"/>
  <c r="AM290" i="1"/>
  <c r="AL290" i="1"/>
  <c r="AL291" i="1" s="1"/>
  <c r="AJ290" i="1"/>
  <c r="AF290" i="1"/>
  <c r="AD290" i="1"/>
  <c r="AG290" i="1" s="1"/>
  <c r="Q290" i="1"/>
  <c r="Q291" i="1" s="1"/>
  <c r="P291" i="1" s="1"/>
  <c r="N291" i="1" s="1"/>
  <c r="O290" i="1"/>
  <c r="AW289" i="1"/>
  <c r="AR289" i="1"/>
  <c r="AQ289" i="1"/>
  <c r="BK289" i="1" s="1"/>
  <c r="BK281" i="1" s="1"/>
  <c r="AN289" i="1"/>
  <c r="AM289" i="1"/>
  <c r="AL289" i="1"/>
  <c r="AZ289" i="1" s="1"/>
  <c r="AH289" i="1"/>
  <c r="AG289" i="1"/>
  <c r="AF289" i="1"/>
  <c r="AD289" i="1"/>
  <c r="P289" i="1"/>
  <c r="N289" i="1" s="1"/>
  <c r="O289" i="1"/>
  <c r="AI288" i="1"/>
  <c r="AR288" i="1" s="1"/>
  <c r="AC288" i="1"/>
  <c r="AR287" i="1"/>
  <c r="AL287" i="1"/>
  <c r="AJ287" i="1"/>
  <c r="AJ288" i="1" s="1"/>
  <c r="AG287" i="1"/>
  <c r="AG282" i="1" s="1"/>
  <c r="AF287" i="1"/>
  <c r="AD287" i="1"/>
  <c r="AD282" i="1" s="1"/>
  <c r="Q287" i="1"/>
  <c r="Q288" i="1" s="1"/>
  <c r="P287" i="1"/>
  <c r="N287" i="1"/>
  <c r="AW286" i="1"/>
  <c r="AR286" i="1"/>
  <c r="AQ286" i="1"/>
  <c r="AO286" i="1"/>
  <c r="AP286" i="1" s="1"/>
  <c r="AN286" i="1"/>
  <c r="AM286" i="1"/>
  <c r="AL286" i="1"/>
  <c r="AZ286" i="1" s="1"/>
  <c r="AH286" i="1"/>
  <c r="AH281" i="1" s="1"/>
  <c r="AF286" i="1"/>
  <c r="AD286" i="1"/>
  <c r="AG286" i="1" s="1"/>
  <c r="P286" i="1"/>
  <c r="N286" i="1" s="1"/>
  <c r="O286" i="1"/>
  <c r="AC285" i="1"/>
  <c r="I285" i="1"/>
  <c r="AL284" i="1"/>
  <c r="AI284" i="1"/>
  <c r="AJ284" i="1" s="1"/>
  <c r="AG284" i="1"/>
  <c r="AF284" i="1"/>
  <c r="AF282" i="1" s="1"/>
  <c r="AD284" i="1"/>
  <c r="Q284" i="1"/>
  <c r="O284" i="1" s="1"/>
  <c r="J284" i="1"/>
  <c r="I284" i="1"/>
  <c r="AW283" i="1"/>
  <c r="AW281" i="1" s="1"/>
  <c r="AQ283" i="1"/>
  <c r="AQ281" i="1" s="1"/>
  <c r="AN283" i="1"/>
  <c r="AM283" i="1"/>
  <c r="AM281" i="1" s="1"/>
  <c r="AL283" i="1"/>
  <c r="AZ283" i="1" s="1"/>
  <c r="AZ281" i="1" s="1"/>
  <c r="AK283" i="1"/>
  <c r="AK281" i="1" s="1"/>
  <c r="AI283" i="1"/>
  <c r="AH283" i="1"/>
  <c r="AG283" i="1"/>
  <c r="AG281" i="1" s="1"/>
  <c r="AF283" i="1"/>
  <c r="AD283" i="1"/>
  <c r="P283" i="1"/>
  <c r="N283" i="1" s="1"/>
  <c r="O283" i="1"/>
  <c r="O281" i="1" s="1"/>
  <c r="J283" i="1"/>
  <c r="E283" i="1"/>
  <c r="BQ282" i="1"/>
  <c r="BP282" i="1"/>
  <c r="BO282" i="1"/>
  <c r="BL282" i="1"/>
  <c r="BK282" i="1"/>
  <c r="BJ282" i="1"/>
  <c r="BI282" i="1"/>
  <c r="BH282" i="1"/>
  <c r="BG282" i="1"/>
  <c r="BF282" i="1"/>
  <c r="BE282" i="1"/>
  <c r="BD282" i="1"/>
  <c r="BC282" i="1"/>
  <c r="BB282" i="1"/>
  <c r="BA282" i="1"/>
  <c r="AZ282" i="1"/>
  <c r="AY282" i="1"/>
  <c r="AX282" i="1"/>
  <c r="AU282" i="1"/>
  <c r="AS282" i="1"/>
  <c r="AI282" i="1"/>
  <c r="AC282" i="1"/>
  <c r="AA282" i="1"/>
  <c r="Z282" i="1"/>
  <c r="X282" i="1"/>
  <c r="W282" i="1"/>
  <c r="U282" i="1"/>
  <c r="T282" i="1"/>
  <c r="I282" i="1"/>
  <c r="BQ281" i="1"/>
  <c r="BP281" i="1"/>
  <c r="BO281" i="1"/>
  <c r="BL281" i="1"/>
  <c r="BJ281" i="1"/>
  <c r="BI281" i="1"/>
  <c r="BH281" i="1"/>
  <c r="BG281" i="1"/>
  <c r="BE281" i="1"/>
  <c r="BD281" i="1"/>
  <c r="BC281" i="1"/>
  <c r="BB281" i="1"/>
  <c r="BA281" i="1"/>
  <c r="AY281" i="1"/>
  <c r="AX281" i="1"/>
  <c r="AV281" i="1"/>
  <c r="AU281" i="1"/>
  <c r="AT281" i="1"/>
  <c r="AS281" i="1"/>
  <c r="AN281" i="1"/>
  <c r="AL281" i="1"/>
  <c r="AF281" i="1"/>
  <c r="AE281" i="1"/>
  <c r="AD281" i="1"/>
  <c r="AC281" i="1"/>
  <c r="AB281" i="1"/>
  <c r="AA281" i="1"/>
  <c r="Z281" i="1"/>
  <c r="Y281" i="1"/>
  <c r="X281" i="1"/>
  <c r="W281" i="1"/>
  <c r="V281" i="1"/>
  <c r="U281" i="1"/>
  <c r="T281" i="1"/>
  <c r="S281" i="1"/>
  <c r="Q281" i="1"/>
  <c r="P281" i="1"/>
  <c r="J281" i="1"/>
  <c r="I281" i="1"/>
  <c r="H281" i="1"/>
  <c r="E281" i="1"/>
  <c r="AR280" i="1"/>
  <c r="AP280" i="1"/>
  <c r="AO280" i="1"/>
  <c r="AL280" i="1"/>
  <c r="AG280" i="1"/>
  <c r="AF280" i="1"/>
  <c r="AC280" i="1"/>
  <c r="AD280" i="1" s="1"/>
  <c r="Q280" i="1"/>
  <c r="O280" i="1" s="1"/>
  <c r="P280" i="1"/>
  <c r="N280" i="1"/>
  <c r="AW279" i="1"/>
  <c r="AV279" i="1"/>
  <c r="AT279" i="1"/>
  <c r="AR279" i="1"/>
  <c r="AP279" i="1"/>
  <c r="AO279" i="1"/>
  <c r="AM279" i="1"/>
  <c r="AG279" i="1"/>
  <c r="AF279" i="1"/>
  <c r="AD279" i="1"/>
  <c r="Q279" i="1"/>
  <c r="P279" i="1"/>
  <c r="N279" i="1" s="1"/>
  <c r="O279" i="1"/>
  <c r="AW278" i="1"/>
  <c r="AR278" i="1"/>
  <c r="AQ278" i="1"/>
  <c r="AP278" i="1"/>
  <c r="AO278" i="1"/>
  <c r="AM278" i="1"/>
  <c r="AH278" i="1"/>
  <c r="AF278" i="1"/>
  <c r="AD278" i="1"/>
  <c r="P278" i="1"/>
  <c r="N278" i="1" s="1"/>
  <c r="O278" i="1"/>
  <c r="AV277" i="1"/>
  <c r="AW277" i="1" s="1"/>
  <c r="AT277" i="1"/>
  <c r="AR277" i="1"/>
  <c r="AO277" i="1"/>
  <c r="AM277" i="1"/>
  <c r="AL277" i="1"/>
  <c r="AG277" i="1"/>
  <c r="AF277" i="1"/>
  <c r="AD277" i="1"/>
  <c r="AC277" i="1"/>
  <c r="AV276" i="1"/>
  <c r="AW276" i="1" s="1"/>
  <c r="AT276" i="1"/>
  <c r="AR276" i="1"/>
  <c r="AO276" i="1"/>
  <c r="AP276" i="1" s="1"/>
  <c r="AP277" i="1" s="1"/>
  <c r="AM276" i="1"/>
  <c r="AF276" i="1"/>
  <c r="AD276" i="1"/>
  <c r="AG276" i="1" s="1"/>
  <c r="Q276" i="1"/>
  <c r="P276" i="1" s="1"/>
  <c r="N276" i="1" s="1"/>
  <c r="O276" i="1"/>
  <c r="AW275" i="1"/>
  <c r="AR275" i="1"/>
  <c r="AQ275" i="1"/>
  <c r="AP275" i="1"/>
  <c r="AO275" i="1"/>
  <c r="AM275" i="1"/>
  <c r="AH275" i="1"/>
  <c r="AH261" i="1" s="1"/>
  <c r="AG275" i="1"/>
  <c r="AF275" i="1"/>
  <c r="AD275" i="1"/>
  <c r="P275" i="1"/>
  <c r="N275" i="1" s="1"/>
  <c r="O275" i="1"/>
  <c r="AT274" i="1"/>
  <c r="AL274" i="1"/>
  <c r="AI274" i="1"/>
  <c r="AR274" i="1" s="1"/>
  <c r="AC274" i="1"/>
  <c r="Q274" i="1"/>
  <c r="O274" i="1" s="1"/>
  <c r="AR273" i="1"/>
  <c r="AO273" i="1"/>
  <c r="AL273" i="1"/>
  <c r="AJ273" i="1"/>
  <c r="AJ274" i="1" s="1"/>
  <c r="AG273" i="1"/>
  <c r="AF273" i="1"/>
  <c r="AD273" i="1"/>
  <c r="Q273" i="1"/>
  <c r="O273" i="1" s="1"/>
  <c r="P273" i="1"/>
  <c r="N273" i="1"/>
  <c r="AW272" i="1"/>
  <c r="AR272" i="1"/>
  <c r="AN272" i="1"/>
  <c r="AQ272" i="1" s="1"/>
  <c r="BF272" i="1" s="1"/>
  <c r="AM272" i="1"/>
  <c r="AL272" i="1"/>
  <c r="AZ272" i="1" s="1"/>
  <c r="AH272" i="1"/>
  <c r="AG272" i="1"/>
  <c r="AF272" i="1"/>
  <c r="AD272" i="1"/>
  <c r="P272" i="1"/>
  <c r="O272" i="1"/>
  <c r="N272" i="1"/>
  <c r="AR271" i="1"/>
  <c r="AI271" i="1"/>
  <c r="AF271" i="1"/>
  <c r="AD271" i="1"/>
  <c r="AG271" i="1" s="1"/>
  <c r="AC271" i="1"/>
  <c r="F271" i="1"/>
  <c r="AR270" i="1"/>
  <c r="AL270" i="1"/>
  <c r="AJ270" i="1"/>
  <c r="AJ271" i="1" s="1"/>
  <c r="AG270" i="1"/>
  <c r="AF270" i="1"/>
  <c r="AD270" i="1"/>
  <c r="Q270" i="1"/>
  <c r="O270" i="1" s="1"/>
  <c r="P270" i="1"/>
  <c r="N270" i="1" s="1"/>
  <c r="F270" i="1"/>
  <c r="AR269" i="1"/>
  <c r="AO269" i="1"/>
  <c r="AP269" i="1" s="1"/>
  <c r="AN269" i="1"/>
  <c r="AQ269" i="1" s="1"/>
  <c r="AL269" i="1"/>
  <c r="AM269" i="1" s="1"/>
  <c r="AH269" i="1"/>
  <c r="AG269" i="1"/>
  <c r="AF269" i="1"/>
  <c r="AD269" i="1"/>
  <c r="P269" i="1"/>
  <c r="N269" i="1" s="1"/>
  <c r="O269" i="1"/>
  <c r="F269" i="1"/>
  <c r="AR268" i="1"/>
  <c r="AL268" i="1"/>
  <c r="AT268" i="1" s="1"/>
  <c r="AJ268" i="1"/>
  <c r="AI268" i="1"/>
  <c r="AC268" i="1"/>
  <c r="AR267" i="1"/>
  <c r="AM267" i="1"/>
  <c r="AM268" i="1" s="1"/>
  <c r="AL267" i="1"/>
  <c r="AT267" i="1" s="1"/>
  <c r="AJ267" i="1"/>
  <c r="AG267" i="1"/>
  <c r="AF267" i="1"/>
  <c r="AF262" i="1" s="1"/>
  <c r="AD267" i="1"/>
  <c r="AX266" i="1"/>
  <c r="AR266" i="1"/>
  <c r="AN266" i="1"/>
  <c r="AQ266" i="1" s="1"/>
  <c r="AM266" i="1"/>
  <c r="AL266" i="1"/>
  <c r="AZ266" i="1" s="1"/>
  <c r="AH266" i="1"/>
  <c r="AG266" i="1"/>
  <c r="AF266" i="1"/>
  <c r="AD266" i="1"/>
  <c r="S266" i="1"/>
  <c r="Q266" i="1"/>
  <c r="P266" i="1"/>
  <c r="AT265" i="1"/>
  <c r="AL265" i="1"/>
  <c r="AM265" i="1" s="1"/>
  <c r="AI265" i="1"/>
  <c r="AC265" i="1"/>
  <c r="AD265" i="1" s="1"/>
  <c r="AG265" i="1" s="1"/>
  <c r="Q265" i="1"/>
  <c r="I265" i="1"/>
  <c r="AM264" i="1"/>
  <c r="AL264" i="1"/>
  <c r="AT264" i="1" s="1"/>
  <c r="AJ264" i="1"/>
  <c r="AI264" i="1"/>
  <c r="AO270" i="1" s="1"/>
  <c r="AO271" i="1" s="1"/>
  <c r="AF264" i="1"/>
  <c r="AD264" i="1"/>
  <c r="Q264" i="1"/>
  <c r="O264" i="1" s="1"/>
  <c r="J264" i="1"/>
  <c r="I264" i="1"/>
  <c r="I262" i="1" s="1"/>
  <c r="AY263" i="1"/>
  <c r="AY261" i="1" s="1"/>
  <c r="AX263" i="1"/>
  <c r="AX269" i="1" s="1"/>
  <c r="AV263" i="1"/>
  <c r="AW263" i="1" s="1"/>
  <c r="AQ263" i="1"/>
  <c r="AQ261" i="1" s="1"/>
  <c r="AN263" i="1"/>
  <c r="AM263" i="1"/>
  <c r="AL263" i="1"/>
  <c r="AK263" i="1"/>
  <c r="AI263" i="1"/>
  <c r="AO263" i="1" s="1"/>
  <c r="AP263" i="1" s="1"/>
  <c r="AH263" i="1"/>
  <c r="AF263" i="1"/>
  <c r="AD263" i="1"/>
  <c r="AG263" i="1" s="1"/>
  <c r="P263" i="1"/>
  <c r="O263" i="1"/>
  <c r="N263" i="1"/>
  <c r="J263" i="1"/>
  <c r="E263" i="1"/>
  <c r="BQ262" i="1"/>
  <c r="BP262" i="1"/>
  <c r="BO262" i="1"/>
  <c r="BL262" i="1"/>
  <c r="BK262" i="1"/>
  <c r="BJ262" i="1"/>
  <c r="BI262" i="1"/>
  <c r="BH262" i="1"/>
  <c r="BG262" i="1"/>
  <c r="BF262" i="1"/>
  <c r="BE262" i="1"/>
  <c r="BD262" i="1"/>
  <c r="BC262" i="1"/>
  <c r="BB262" i="1"/>
  <c r="BA262" i="1"/>
  <c r="AZ262" i="1"/>
  <c r="AY262" i="1"/>
  <c r="AX262" i="1"/>
  <c r="AU262" i="1"/>
  <c r="AS262" i="1"/>
  <c r="AI262" i="1"/>
  <c r="AC262" i="1"/>
  <c r="AA262" i="1"/>
  <c r="Z262" i="1"/>
  <c r="X262" i="1"/>
  <c r="W262" i="1"/>
  <c r="U262" i="1"/>
  <c r="T262" i="1"/>
  <c r="BQ261" i="1"/>
  <c r="BP261" i="1"/>
  <c r="BO261" i="1"/>
  <c r="BL261" i="1"/>
  <c r="BK261" i="1"/>
  <c r="BJ261" i="1"/>
  <c r="BI261" i="1"/>
  <c r="BH261" i="1"/>
  <c r="BG261" i="1"/>
  <c r="BE261" i="1"/>
  <c r="BD261" i="1"/>
  <c r="BC261" i="1"/>
  <c r="BB261" i="1"/>
  <c r="BA261" i="1"/>
  <c r="AX261" i="1"/>
  <c r="AU261" i="1"/>
  <c r="AT261" i="1"/>
  <c r="AS261" i="1"/>
  <c r="AL261" i="1"/>
  <c r="AK261" i="1"/>
  <c r="AE261" i="1"/>
  <c r="AC261" i="1"/>
  <c r="AB261" i="1"/>
  <c r="AA261" i="1"/>
  <c r="Z261" i="1"/>
  <c r="Y261" i="1"/>
  <c r="X261" i="1"/>
  <c r="W261" i="1"/>
  <c r="V261" i="1"/>
  <c r="U261" i="1"/>
  <c r="T261" i="1"/>
  <c r="S261" i="1"/>
  <c r="Q261" i="1"/>
  <c r="P261" i="1"/>
  <c r="J261" i="1"/>
  <c r="I261" i="1"/>
  <c r="H261" i="1"/>
  <c r="AW260" i="1"/>
  <c r="AR260" i="1"/>
  <c r="AL260" i="1"/>
  <c r="AV260" i="1" s="1"/>
  <c r="AC260" i="1"/>
  <c r="AF260" i="1" s="1"/>
  <c r="Q260" i="1"/>
  <c r="AW259" i="1"/>
  <c r="AV259" i="1"/>
  <c r="AT259" i="1"/>
  <c r="AR259" i="1"/>
  <c r="AP259" i="1"/>
  <c r="AP260" i="1" s="1"/>
  <c r="AO259" i="1"/>
  <c r="AO260" i="1" s="1"/>
  <c r="AM259" i="1"/>
  <c r="AG259" i="1"/>
  <c r="AF259" i="1"/>
  <c r="AF242" i="1" s="1"/>
  <c r="AD259" i="1"/>
  <c r="Q259" i="1"/>
  <c r="P259" i="1"/>
  <c r="N259" i="1" s="1"/>
  <c r="O259" i="1"/>
  <c r="AW258" i="1"/>
  <c r="AR258" i="1"/>
  <c r="AQ258" i="1"/>
  <c r="AP258" i="1"/>
  <c r="AO258" i="1"/>
  <c r="AM258" i="1"/>
  <c r="AH258" i="1"/>
  <c r="AF258" i="1"/>
  <c r="AD258" i="1"/>
  <c r="AG258" i="1" s="1"/>
  <c r="P258" i="1"/>
  <c r="N258" i="1" s="1"/>
  <c r="O258" i="1"/>
  <c r="AJ257" i="1"/>
  <c r="AI257" i="1"/>
  <c r="AR257" i="1" s="1"/>
  <c r="AC257" i="1"/>
  <c r="AR256" i="1"/>
  <c r="AL256" i="1"/>
  <c r="AJ256" i="1"/>
  <c r="AF256" i="1"/>
  <c r="AD256" i="1"/>
  <c r="Q256" i="1"/>
  <c r="Q257" i="1" s="1"/>
  <c r="O256" i="1"/>
  <c r="AW255" i="1"/>
  <c r="AR255" i="1"/>
  <c r="AQ255" i="1"/>
  <c r="AN255" i="1"/>
  <c r="AM255" i="1"/>
  <c r="AL255" i="1"/>
  <c r="AZ255" i="1" s="1"/>
  <c r="AH255" i="1"/>
  <c r="AG255" i="1"/>
  <c r="AF255" i="1"/>
  <c r="AD255" i="1"/>
  <c r="P255" i="1"/>
  <c r="O255" i="1"/>
  <c r="N255" i="1"/>
  <c r="AR254" i="1"/>
  <c r="AL254" i="1"/>
  <c r="AI254" i="1"/>
  <c r="AG254" i="1"/>
  <c r="AF254" i="1"/>
  <c r="AD254" i="1"/>
  <c r="AC254" i="1"/>
  <c r="AV253" i="1"/>
  <c r="AW253" i="1" s="1"/>
  <c r="AT253" i="1"/>
  <c r="AR253" i="1"/>
  <c r="AO253" i="1"/>
  <c r="AM253" i="1"/>
  <c r="AL253" i="1"/>
  <c r="AJ253" i="1"/>
  <c r="AJ254" i="1" s="1"/>
  <c r="AG253" i="1"/>
  <c r="AF253" i="1"/>
  <c r="AD253" i="1"/>
  <c r="Q253" i="1"/>
  <c r="O253" i="1" s="1"/>
  <c r="P253" i="1"/>
  <c r="N253" i="1" s="1"/>
  <c r="AW252" i="1"/>
  <c r="AR252" i="1"/>
  <c r="AQ252" i="1"/>
  <c r="BF252" i="1" s="1"/>
  <c r="AN252" i="1"/>
  <c r="AL252" i="1"/>
  <c r="AH252" i="1"/>
  <c r="AF252" i="1"/>
  <c r="AD252" i="1"/>
  <c r="AG252" i="1" s="1"/>
  <c r="P252" i="1"/>
  <c r="O252" i="1"/>
  <c r="N252" i="1"/>
  <c r="AR251" i="1"/>
  <c r="AL251" i="1"/>
  <c r="AT251" i="1" s="1"/>
  <c r="AJ251" i="1"/>
  <c r="AI251" i="1"/>
  <c r="AF251" i="1"/>
  <c r="AD251" i="1"/>
  <c r="AG251" i="1" s="1"/>
  <c r="AC251" i="1"/>
  <c r="F251" i="1"/>
  <c r="AT250" i="1"/>
  <c r="AR250" i="1"/>
  <c r="AO250" i="1"/>
  <c r="AM250" i="1"/>
  <c r="AM251" i="1" s="1"/>
  <c r="AL250" i="1"/>
  <c r="AJ250" i="1"/>
  <c r="AG250" i="1"/>
  <c r="AF250" i="1"/>
  <c r="AD250" i="1"/>
  <c r="Q250" i="1"/>
  <c r="O250" i="1" s="1"/>
  <c r="P250" i="1"/>
  <c r="N250" i="1" s="1"/>
  <c r="F250" i="1"/>
  <c r="AR249" i="1"/>
  <c r="AO249" i="1"/>
  <c r="AP249" i="1" s="1"/>
  <c r="AN249" i="1"/>
  <c r="AQ249" i="1" s="1"/>
  <c r="BL249" i="1" s="1"/>
  <c r="AL249" i="1"/>
  <c r="AZ249" i="1" s="1"/>
  <c r="AH249" i="1"/>
  <c r="AF249" i="1"/>
  <c r="AD249" i="1"/>
  <c r="AG249" i="1" s="1"/>
  <c r="S249" i="1"/>
  <c r="S241" i="1" s="1"/>
  <c r="Q249" i="1"/>
  <c r="P249" i="1" s="1"/>
  <c r="N249" i="1" s="1"/>
  <c r="O249" i="1"/>
  <c r="F249" i="1"/>
  <c r="AT248" i="1"/>
  <c r="AI248" i="1"/>
  <c r="AR248" i="1" s="1"/>
  <c r="AC248" i="1"/>
  <c r="AF248" i="1" s="1"/>
  <c r="Q248" i="1"/>
  <c r="AR247" i="1"/>
  <c r="AL247" i="1"/>
  <c r="AL248" i="1" s="1"/>
  <c r="AJ247" i="1"/>
  <c r="AJ248" i="1" s="1"/>
  <c r="AF247" i="1"/>
  <c r="AD247" i="1"/>
  <c r="AG247" i="1" s="1"/>
  <c r="Q247" i="1"/>
  <c r="AX246" i="1"/>
  <c r="AR246" i="1"/>
  <c r="AN246" i="1"/>
  <c r="AQ246" i="1" s="1"/>
  <c r="BF246" i="1" s="1"/>
  <c r="AL246" i="1"/>
  <c r="AZ246" i="1" s="1"/>
  <c r="AH246" i="1"/>
  <c r="AF246" i="1"/>
  <c r="AD246" i="1"/>
  <c r="AG246" i="1" s="1"/>
  <c r="P246" i="1"/>
  <c r="O246" i="1"/>
  <c r="AM245" i="1"/>
  <c r="AL245" i="1"/>
  <c r="AT245" i="1" s="1"/>
  <c r="AC245" i="1"/>
  <c r="AF245" i="1" s="1"/>
  <c r="J245" i="1"/>
  <c r="AM244" i="1"/>
  <c r="AL244" i="1"/>
  <c r="AT244" i="1" s="1"/>
  <c r="AI244" i="1"/>
  <c r="AF244" i="1"/>
  <c r="AD244" i="1"/>
  <c r="AG244" i="1" s="1"/>
  <c r="Q244" i="1"/>
  <c r="J244" i="1"/>
  <c r="I244" i="1"/>
  <c r="I245" i="1" s="1"/>
  <c r="AX243" i="1"/>
  <c r="AX249" i="1" s="1"/>
  <c r="AX241" i="1" s="1"/>
  <c r="AV243" i="1"/>
  <c r="AN243" i="1"/>
  <c r="AM243" i="1"/>
  <c r="AL243" i="1"/>
  <c r="AK243" i="1"/>
  <c r="AK241" i="1" s="1"/>
  <c r="AJ243" i="1"/>
  <c r="AJ241" i="1" s="1"/>
  <c r="AI243" i="1"/>
  <c r="AZ243" i="1" s="1"/>
  <c r="AH243" i="1"/>
  <c r="AG243" i="1"/>
  <c r="AF243" i="1"/>
  <c r="AD243" i="1"/>
  <c r="P243" i="1"/>
  <c r="O243" i="1"/>
  <c r="N243" i="1"/>
  <c r="J243" i="1"/>
  <c r="E243" i="1"/>
  <c r="E241" i="1" s="1"/>
  <c r="BQ242" i="1"/>
  <c r="BP242" i="1"/>
  <c r="BO242" i="1"/>
  <c r="BL242" i="1"/>
  <c r="BK242" i="1"/>
  <c r="BJ242" i="1"/>
  <c r="BI242" i="1"/>
  <c r="BH242" i="1"/>
  <c r="BG242" i="1"/>
  <c r="BF242" i="1"/>
  <c r="BE242" i="1"/>
  <c r="BD242" i="1"/>
  <c r="BC242" i="1"/>
  <c r="BB242" i="1"/>
  <c r="BA242" i="1"/>
  <c r="AZ242" i="1"/>
  <c r="AY242" i="1"/>
  <c r="AX242" i="1"/>
  <c r="AU242" i="1"/>
  <c r="AS242" i="1"/>
  <c r="AC242" i="1"/>
  <c r="AA242" i="1"/>
  <c r="Z242" i="1"/>
  <c r="X242" i="1"/>
  <c r="W242" i="1"/>
  <c r="U242" i="1"/>
  <c r="T242" i="1"/>
  <c r="J242" i="1"/>
  <c r="I242" i="1"/>
  <c r="BQ241" i="1"/>
  <c r="BP241" i="1"/>
  <c r="BO241" i="1"/>
  <c r="BK241" i="1"/>
  <c r="BJ241" i="1"/>
  <c r="BI241" i="1"/>
  <c r="BH241" i="1"/>
  <c r="BG241" i="1"/>
  <c r="BE241" i="1"/>
  <c r="BD241" i="1"/>
  <c r="BC241" i="1"/>
  <c r="BB241" i="1"/>
  <c r="BA241" i="1"/>
  <c r="AY241" i="1"/>
  <c r="AU241" i="1"/>
  <c r="AT241" i="1"/>
  <c r="AS241" i="1"/>
  <c r="AI241" i="1"/>
  <c r="AE241" i="1"/>
  <c r="AC241" i="1"/>
  <c r="AB241" i="1"/>
  <c r="AA241" i="1"/>
  <c r="Z241" i="1"/>
  <c r="Y241" i="1"/>
  <c r="X241" i="1"/>
  <c r="W241" i="1"/>
  <c r="V241" i="1"/>
  <c r="U241" i="1"/>
  <c r="T241" i="1"/>
  <c r="Q241" i="1"/>
  <c r="O241" i="1"/>
  <c r="J241" i="1"/>
  <c r="I241" i="1"/>
  <c r="H241" i="1"/>
  <c r="AT240" i="1"/>
  <c r="AI240" i="1"/>
  <c r="AR240" i="1" s="1"/>
  <c r="AC240" i="1"/>
  <c r="AF240" i="1" s="1"/>
  <c r="AR239" i="1"/>
  <c r="AL239" i="1"/>
  <c r="AL240" i="1" s="1"/>
  <c r="AV240" i="1" s="1"/>
  <c r="AW240" i="1" s="1"/>
  <c r="AJ239" i="1"/>
  <c r="AJ240" i="1" s="1"/>
  <c r="AF239" i="1"/>
  <c r="AD239" i="1"/>
  <c r="AG239" i="1" s="1"/>
  <c r="Q239" i="1"/>
  <c r="AW238" i="1"/>
  <c r="AR238" i="1"/>
  <c r="AQ238" i="1"/>
  <c r="AN238" i="1"/>
  <c r="AM238" i="1"/>
  <c r="AL238" i="1"/>
  <c r="AH238" i="1"/>
  <c r="AG238" i="1"/>
  <c r="AF238" i="1"/>
  <c r="AD238" i="1"/>
  <c r="P238" i="1"/>
  <c r="O238" i="1"/>
  <c r="O233" i="1" s="1"/>
  <c r="N238" i="1"/>
  <c r="N233" i="1" s="1"/>
  <c r="AL237" i="1"/>
  <c r="AG237" i="1"/>
  <c r="AF237" i="1"/>
  <c r="AD237" i="1"/>
  <c r="AC237" i="1"/>
  <c r="I237" i="1"/>
  <c r="AV236" i="1"/>
  <c r="AT236" i="1"/>
  <c r="AM236" i="1"/>
  <c r="AL236" i="1"/>
  <c r="AI236" i="1"/>
  <c r="AF236" i="1"/>
  <c r="AD236" i="1"/>
  <c r="AG236" i="1" s="1"/>
  <c r="AG234" i="1" s="1"/>
  <c r="Q236" i="1"/>
  <c r="J236" i="1"/>
  <c r="I236" i="1"/>
  <c r="E236" i="1"/>
  <c r="E237" i="1" s="1"/>
  <c r="AW235" i="1"/>
  <c r="AQ235" i="1"/>
  <c r="AQ233" i="1" s="1"/>
  <c r="AN235" i="1"/>
  <c r="AN233" i="1" s="1"/>
  <c r="AM235" i="1"/>
  <c r="AL235" i="1"/>
  <c r="AK235" i="1"/>
  <c r="AI235" i="1"/>
  <c r="AH235" i="1"/>
  <c r="AF235" i="1"/>
  <c r="AD235" i="1"/>
  <c r="AG235" i="1" s="1"/>
  <c r="AG233" i="1" s="1"/>
  <c r="P235" i="1"/>
  <c r="O235" i="1"/>
  <c r="N235" i="1"/>
  <c r="J235" i="1"/>
  <c r="F235" i="1"/>
  <c r="E235" i="1"/>
  <c r="BQ234" i="1"/>
  <c r="BP234" i="1"/>
  <c r="BO234" i="1"/>
  <c r="BL234" i="1"/>
  <c r="BK234" i="1"/>
  <c r="BJ234" i="1"/>
  <c r="BI234" i="1"/>
  <c r="BH234" i="1"/>
  <c r="BG234" i="1"/>
  <c r="BF234" i="1"/>
  <c r="BE234" i="1"/>
  <c r="BD234" i="1"/>
  <c r="BC234" i="1"/>
  <c r="BB234" i="1"/>
  <c r="BA234" i="1"/>
  <c r="AZ234" i="1"/>
  <c r="AY234" i="1"/>
  <c r="AX234" i="1"/>
  <c r="AU234" i="1"/>
  <c r="AS234" i="1"/>
  <c r="AI234" i="1"/>
  <c r="AF234" i="1"/>
  <c r="AD234" i="1"/>
  <c r="AC234" i="1"/>
  <c r="AA234" i="1"/>
  <c r="Z234" i="1"/>
  <c r="X234" i="1"/>
  <c r="W234" i="1"/>
  <c r="U234" i="1"/>
  <c r="T234" i="1"/>
  <c r="I234" i="1"/>
  <c r="BQ233" i="1"/>
  <c r="BP233" i="1"/>
  <c r="BO233" i="1"/>
  <c r="BK233" i="1"/>
  <c r="BJ233" i="1"/>
  <c r="BI233" i="1"/>
  <c r="BH233" i="1"/>
  <c r="BG233" i="1"/>
  <c r="BF233" i="1"/>
  <c r="BE233" i="1"/>
  <c r="BD233" i="1"/>
  <c r="BC233" i="1"/>
  <c r="BB233" i="1"/>
  <c r="BA233" i="1"/>
  <c r="AY233" i="1"/>
  <c r="AX233" i="1"/>
  <c r="AW233" i="1"/>
  <c r="AV233" i="1"/>
  <c r="AU233" i="1"/>
  <c r="AT233" i="1"/>
  <c r="AS233" i="1"/>
  <c r="AL233" i="1"/>
  <c r="AK233" i="1"/>
  <c r="AH233" i="1"/>
  <c r="AE233" i="1"/>
  <c r="AC233" i="1"/>
  <c r="AB233" i="1"/>
  <c r="AA233" i="1"/>
  <c r="Z233" i="1"/>
  <c r="Y233" i="1"/>
  <c r="X233" i="1"/>
  <c r="W233" i="1"/>
  <c r="V233" i="1"/>
  <c r="U233" i="1"/>
  <c r="T233" i="1"/>
  <c r="S233" i="1"/>
  <c r="Q233" i="1"/>
  <c r="P233" i="1"/>
  <c r="J233" i="1"/>
  <c r="I233" i="1"/>
  <c r="H233" i="1"/>
  <c r="F233" i="1"/>
  <c r="E233" i="1"/>
  <c r="AW232" i="1"/>
  <c r="AV232" i="1"/>
  <c r="AR232" i="1"/>
  <c r="AL232" i="1"/>
  <c r="AH232" i="1"/>
  <c r="AF232" i="1"/>
  <c r="AD232" i="1"/>
  <c r="AG232" i="1" s="1"/>
  <c r="AC232" i="1"/>
  <c r="AW231" i="1"/>
  <c r="AT231" i="1"/>
  <c r="AR231" i="1"/>
  <c r="AP231" i="1"/>
  <c r="AP232" i="1" s="1"/>
  <c r="AO231" i="1"/>
  <c r="AO232" i="1" s="1"/>
  <c r="AM231" i="1"/>
  <c r="AH231" i="1"/>
  <c r="AF231" i="1"/>
  <c r="AD231" i="1"/>
  <c r="AG231" i="1" s="1"/>
  <c r="Q231" i="1"/>
  <c r="AW230" i="1"/>
  <c r="AR230" i="1"/>
  <c r="AQ230" i="1"/>
  <c r="AO230" i="1"/>
  <c r="AP230" i="1" s="1"/>
  <c r="AM230" i="1"/>
  <c r="AH230" i="1"/>
  <c r="AG230" i="1"/>
  <c r="AF230" i="1"/>
  <c r="AD230" i="1"/>
  <c r="P230" i="1"/>
  <c r="O230" i="1"/>
  <c r="N230" i="1"/>
  <c r="AW229" i="1"/>
  <c r="AV229" i="1"/>
  <c r="AR229" i="1"/>
  <c r="AL229" i="1"/>
  <c r="AH229" i="1"/>
  <c r="AF229" i="1"/>
  <c r="AD229" i="1"/>
  <c r="AG229" i="1" s="1"/>
  <c r="AC229" i="1"/>
  <c r="AW228" i="1"/>
  <c r="AT228" i="1"/>
  <c r="AR228" i="1"/>
  <c r="AP228" i="1"/>
  <c r="AP229" i="1" s="1"/>
  <c r="AO228" i="1"/>
  <c r="AO229" i="1" s="1"/>
  <c r="AM228" i="1"/>
  <c r="AH228" i="1"/>
  <c r="AF228" i="1"/>
  <c r="AD228" i="1"/>
  <c r="AG228" i="1" s="1"/>
  <c r="Q228" i="1"/>
  <c r="AW227" i="1"/>
  <c r="AR227" i="1"/>
  <c r="AQ227" i="1"/>
  <c r="AO227" i="1"/>
  <c r="AP227" i="1" s="1"/>
  <c r="AM227" i="1"/>
  <c r="AH227" i="1"/>
  <c r="AG227" i="1"/>
  <c r="AF227" i="1"/>
  <c r="AD227" i="1"/>
  <c r="P227" i="1"/>
  <c r="O227" i="1"/>
  <c r="N227" i="1"/>
  <c r="AW226" i="1"/>
  <c r="AV226" i="1"/>
  <c r="AR226" i="1"/>
  <c r="AL226" i="1"/>
  <c r="AF226" i="1"/>
  <c r="AD226" i="1"/>
  <c r="AG226" i="1" s="1"/>
  <c r="Q226" i="1"/>
  <c r="AW225" i="1"/>
  <c r="AT225" i="1"/>
  <c r="AR225" i="1"/>
  <c r="AO225" i="1"/>
  <c r="AM225" i="1"/>
  <c r="AF225" i="1"/>
  <c r="AD225" i="1"/>
  <c r="AG225" i="1" s="1"/>
  <c r="AC225" i="1"/>
  <c r="Q225" i="1"/>
  <c r="P225" i="1"/>
  <c r="N225" i="1" s="1"/>
  <c r="O225" i="1"/>
  <c r="AW224" i="1"/>
  <c r="AR224" i="1"/>
  <c r="AQ224" i="1"/>
  <c r="AP224" i="1"/>
  <c r="AO224" i="1"/>
  <c r="AM224" i="1"/>
  <c r="AH224" i="1"/>
  <c r="AF224" i="1"/>
  <c r="AD224" i="1"/>
  <c r="AG224" i="1" s="1"/>
  <c r="P224" i="1"/>
  <c r="N224" i="1" s="1"/>
  <c r="O224" i="1"/>
  <c r="AI223" i="1"/>
  <c r="AR223" i="1" s="1"/>
  <c r="AF223" i="1"/>
  <c r="AD223" i="1"/>
  <c r="AG223" i="1" s="1"/>
  <c r="Q223" i="1"/>
  <c r="AR222" i="1"/>
  <c r="AL222" i="1"/>
  <c r="AV222" i="1" s="1"/>
  <c r="AW222" i="1" s="1"/>
  <c r="AJ222" i="1"/>
  <c r="AJ223" i="1" s="1"/>
  <c r="AD222" i="1"/>
  <c r="AG222" i="1" s="1"/>
  <c r="AC222" i="1"/>
  <c r="AF222" i="1" s="1"/>
  <c r="Q222" i="1"/>
  <c r="P222" i="1" s="1"/>
  <c r="O222" i="1"/>
  <c r="N222" i="1"/>
  <c r="AW221" i="1"/>
  <c r="AR221" i="1"/>
  <c r="AN221" i="1"/>
  <c r="AQ221" i="1" s="1"/>
  <c r="AM221" i="1"/>
  <c r="AL221" i="1"/>
  <c r="AZ221" i="1" s="1"/>
  <c r="AH221" i="1"/>
  <c r="AG221" i="1"/>
  <c r="AF221" i="1"/>
  <c r="AD221" i="1"/>
  <c r="P221" i="1"/>
  <c r="N221" i="1" s="1"/>
  <c r="O221" i="1"/>
  <c r="AV220" i="1"/>
  <c r="AW220" i="1" s="1"/>
  <c r="AT220" i="1"/>
  <c r="AM220" i="1"/>
  <c r="AL220" i="1"/>
  <c r="AI220" i="1"/>
  <c r="AR220" i="1" s="1"/>
  <c r="AG220" i="1"/>
  <c r="AF220" i="1"/>
  <c r="AD220" i="1"/>
  <c r="AV219" i="1"/>
  <c r="AW219" i="1" s="1"/>
  <c r="AT219" i="1"/>
  <c r="AR219" i="1"/>
  <c r="AM219" i="1"/>
  <c r="AL219" i="1"/>
  <c r="AJ219" i="1"/>
  <c r="AJ220" i="1" s="1"/>
  <c r="AG219" i="1"/>
  <c r="AD219" i="1"/>
  <c r="AC219" i="1"/>
  <c r="AF219" i="1" s="1"/>
  <c r="Q219" i="1"/>
  <c r="AW218" i="1"/>
  <c r="AR218" i="1"/>
  <c r="AQ218" i="1"/>
  <c r="AN218" i="1"/>
  <c r="AM218" i="1"/>
  <c r="AL218" i="1"/>
  <c r="AH218" i="1"/>
  <c r="AG218" i="1"/>
  <c r="AF218" i="1"/>
  <c r="AF204" i="1" s="1"/>
  <c r="AD218" i="1"/>
  <c r="P218" i="1"/>
  <c r="O218" i="1"/>
  <c r="N218" i="1"/>
  <c r="AR217" i="1"/>
  <c r="AL217" i="1"/>
  <c r="AJ217" i="1"/>
  <c r="AI217" i="1"/>
  <c r="AG217" i="1"/>
  <c r="AF217" i="1"/>
  <c r="AD217" i="1"/>
  <c r="AT216" i="1"/>
  <c r="AR216" i="1"/>
  <c r="AM216" i="1"/>
  <c r="AL216" i="1"/>
  <c r="AJ216" i="1"/>
  <c r="AG216" i="1"/>
  <c r="AF216" i="1"/>
  <c r="AD216" i="1"/>
  <c r="AC216" i="1"/>
  <c r="Q216" i="1"/>
  <c r="O216" i="1" s="1"/>
  <c r="P216" i="1"/>
  <c r="N216" i="1" s="1"/>
  <c r="BK215" i="1"/>
  <c r="BK204" i="1" s="1"/>
  <c r="AR215" i="1"/>
  <c r="AN215" i="1"/>
  <c r="AQ215" i="1" s="1"/>
  <c r="AL215" i="1"/>
  <c r="AH215" i="1"/>
  <c r="AF215" i="1"/>
  <c r="AD215" i="1"/>
  <c r="AG215" i="1" s="1"/>
  <c r="S215" i="1"/>
  <c r="Q215" i="1"/>
  <c r="P215" i="1" s="1"/>
  <c r="O215" i="1"/>
  <c r="N215" i="1"/>
  <c r="AR214" i="1"/>
  <c r="AL214" i="1"/>
  <c r="AT214" i="1" s="1"/>
  <c r="AJ214" i="1"/>
  <c r="AI214" i="1"/>
  <c r="AG214" i="1"/>
  <c r="AF214" i="1"/>
  <c r="AD214" i="1"/>
  <c r="AT213" i="1"/>
  <c r="AR213" i="1"/>
  <c r="AM213" i="1"/>
  <c r="AM214" i="1" s="1"/>
  <c r="AL213" i="1"/>
  <c r="AJ213" i="1"/>
  <c r="AG213" i="1"/>
  <c r="AF213" i="1"/>
  <c r="AD213" i="1"/>
  <c r="AC213" i="1"/>
  <c r="Q213" i="1"/>
  <c r="O213" i="1" s="1"/>
  <c r="P213" i="1"/>
  <c r="AZ212" i="1"/>
  <c r="AX212" i="1"/>
  <c r="AR212" i="1"/>
  <c r="AN212" i="1"/>
  <c r="AM212" i="1"/>
  <c r="AL212" i="1"/>
  <c r="AH212" i="1"/>
  <c r="AG212" i="1"/>
  <c r="AF212" i="1"/>
  <c r="AD212" i="1"/>
  <c r="P212" i="1"/>
  <c r="N212" i="1" s="1"/>
  <c r="O212" i="1"/>
  <c r="AT211" i="1"/>
  <c r="AM211" i="1"/>
  <c r="AL211" i="1"/>
  <c r="AI211" i="1"/>
  <c r="AR211" i="1" s="1"/>
  <c r="AG211" i="1"/>
  <c r="AF211" i="1"/>
  <c r="AD211" i="1"/>
  <c r="AT210" i="1"/>
  <c r="AR210" i="1"/>
  <c r="AM210" i="1"/>
  <c r="AL210" i="1"/>
  <c r="AJ210" i="1"/>
  <c r="AJ211" i="1" s="1"/>
  <c r="AG210" i="1"/>
  <c r="AD210" i="1"/>
  <c r="AC210" i="1"/>
  <c r="AF210" i="1" s="1"/>
  <c r="Q210" i="1"/>
  <c r="AV209" i="1"/>
  <c r="AW209" i="1" s="1"/>
  <c r="AR209" i="1"/>
  <c r="AN209" i="1"/>
  <c r="AQ209" i="1" s="1"/>
  <c r="BF209" i="1" s="1"/>
  <c r="AL209" i="1"/>
  <c r="AZ209" i="1" s="1"/>
  <c r="AH209" i="1"/>
  <c r="AF209" i="1"/>
  <c r="AD209" i="1"/>
  <c r="AG209" i="1" s="1"/>
  <c r="S209" i="1"/>
  <c r="Q209" i="1"/>
  <c r="P209" i="1" s="1"/>
  <c r="O209" i="1"/>
  <c r="N209" i="1"/>
  <c r="AL208" i="1"/>
  <c r="AM208" i="1" s="1"/>
  <c r="AM207" i="1" s="1"/>
  <c r="AF208" i="1"/>
  <c r="AD208" i="1"/>
  <c r="AG208" i="1" s="1"/>
  <c r="Q208" i="1"/>
  <c r="P208" i="1" s="1"/>
  <c r="O208" i="1"/>
  <c r="N208" i="1"/>
  <c r="J208" i="1"/>
  <c r="J207" i="1" s="1"/>
  <c r="J205" i="1" s="1"/>
  <c r="I208" i="1"/>
  <c r="AL207" i="1"/>
  <c r="AO207" i="1" s="1"/>
  <c r="AJ207" i="1"/>
  <c r="AJ208" i="1" s="1"/>
  <c r="AI207" i="1"/>
  <c r="AI208" i="1" s="1"/>
  <c r="AF207" i="1"/>
  <c r="AD207" i="1"/>
  <c r="AC207" i="1"/>
  <c r="Q207" i="1"/>
  <c r="P207" i="1"/>
  <c r="N207" i="1" s="1"/>
  <c r="O207" i="1"/>
  <c r="AX206" i="1"/>
  <c r="AW206" i="1"/>
  <c r="AO206" i="1"/>
  <c r="AN206" i="1"/>
  <c r="AQ206" i="1" s="1"/>
  <c r="AL206" i="1"/>
  <c r="AL204" i="1" s="1"/>
  <c r="AK206" i="1"/>
  <c r="AJ206" i="1"/>
  <c r="AI206" i="1"/>
  <c r="AH206" i="1"/>
  <c r="AG206" i="1"/>
  <c r="AF206" i="1"/>
  <c r="AD206" i="1"/>
  <c r="P206" i="1"/>
  <c r="AV206" i="1" s="1"/>
  <c r="O206" i="1"/>
  <c r="O204" i="1" s="1"/>
  <c r="J206" i="1"/>
  <c r="E206" i="1"/>
  <c r="E208" i="1" s="1"/>
  <c r="BQ205" i="1"/>
  <c r="BP205" i="1"/>
  <c r="BO205" i="1"/>
  <c r="BL205" i="1"/>
  <c r="BK205" i="1"/>
  <c r="BJ205" i="1"/>
  <c r="BI205" i="1"/>
  <c r="BH205" i="1"/>
  <c r="BG205" i="1"/>
  <c r="BF205" i="1"/>
  <c r="BE205" i="1"/>
  <c r="BD205" i="1"/>
  <c r="BC205" i="1"/>
  <c r="BB205" i="1"/>
  <c r="BA205" i="1"/>
  <c r="AZ205" i="1"/>
  <c r="AY205" i="1"/>
  <c r="AU205" i="1"/>
  <c r="AS205" i="1"/>
  <c r="AL205" i="1"/>
  <c r="AR205" i="1" s="1"/>
  <c r="AJ205" i="1"/>
  <c r="AI205" i="1"/>
  <c r="AA205" i="1"/>
  <c r="Z205" i="1"/>
  <c r="X205" i="1"/>
  <c r="W205" i="1"/>
  <c r="U205" i="1"/>
  <c r="T205" i="1"/>
  <c r="Q205" i="1"/>
  <c r="I205" i="1"/>
  <c r="BQ204" i="1"/>
  <c r="BP204" i="1"/>
  <c r="BO204" i="1"/>
  <c r="BJ204" i="1"/>
  <c r="BI204" i="1"/>
  <c r="BH204" i="1"/>
  <c r="BG204" i="1"/>
  <c r="BE204" i="1"/>
  <c r="BD204" i="1"/>
  <c r="BC204" i="1"/>
  <c r="BB204" i="1"/>
  <c r="BA204" i="1"/>
  <c r="AY204" i="1"/>
  <c r="AU204" i="1"/>
  <c r="AT204" i="1"/>
  <c r="AS204" i="1"/>
  <c r="AJ204" i="1"/>
  <c r="AI204" i="1"/>
  <c r="AR204" i="1" s="1"/>
  <c r="AE204" i="1"/>
  <c r="AC204" i="1"/>
  <c r="AB204" i="1"/>
  <c r="AA204" i="1"/>
  <c r="Z204" i="1"/>
  <c r="Y204" i="1"/>
  <c r="X204" i="1"/>
  <c r="W204" i="1"/>
  <c r="V204" i="1"/>
  <c r="U204" i="1"/>
  <c r="T204" i="1"/>
  <c r="Q204" i="1"/>
  <c r="J204" i="1"/>
  <c r="I204" i="1"/>
  <c r="H204" i="1"/>
  <c r="AV203" i="1"/>
  <c r="AW203" i="1" s="1"/>
  <c r="AT203" i="1"/>
  <c r="AM203" i="1"/>
  <c r="AL203" i="1"/>
  <c r="AI203" i="1"/>
  <c r="AR203" i="1" s="1"/>
  <c r="AC203" i="1"/>
  <c r="AW202" i="1"/>
  <c r="AV202" i="1"/>
  <c r="AT202" i="1"/>
  <c r="AR202" i="1"/>
  <c r="AM202" i="1"/>
  <c r="AJ202" i="1"/>
  <c r="AJ203" i="1" s="1"/>
  <c r="AG202" i="1"/>
  <c r="AF202" i="1"/>
  <c r="AD202" i="1"/>
  <c r="AW201" i="1"/>
  <c r="AR201" i="1"/>
  <c r="AN201" i="1"/>
  <c r="AM201" i="1"/>
  <c r="AH201" i="1"/>
  <c r="AF201" i="1"/>
  <c r="AD201" i="1"/>
  <c r="AG201" i="1" s="1"/>
  <c r="Q201" i="1"/>
  <c r="AL200" i="1"/>
  <c r="AF200" i="1"/>
  <c r="AD200" i="1"/>
  <c r="AG200" i="1" s="1"/>
  <c r="AC200" i="1"/>
  <c r="I200" i="1"/>
  <c r="AV199" i="1"/>
  <c r="AT199" i="1"/>
  <c r="AT197" i="1" s="1"/>
  <c r="AO199" i="1"/>
  <c r="AM199" i="1"/>
  <c r="AL199" i="1"/>
  <c r="AI199" i="1"/>
  <c r="AG199" i="1"/>
  <c r="AG197" i="1" s="1"/>
  <c r="AF199" i="1"/>
  <c r="AD199" i="1"/>
  <c r="Q199" i="1"/>
  <c r="P199" i="1"/>
  <c r="J199" i="1"/>
  <c r="I199" i="1"/>
  <c r="AZ198" i="1"/>
  <c r="AW198" i="1"/>
  <c r="AQ198" i="1"/>
  <c r="AN198" i="1"/>
  <c r="AM198" i="1"/>
  <c r="AL198" i="1"/>
  <c r="AK198" i="1"/>
  <c r="AI198" i="1"/>
  <c r="AH198" i="1"/>
  <c r="AH196" i="1" s="1"/>
  <c r="AF198" i="1"/>
  <c r="AD198" i="1"/>
  <c r="AG198" i="1" s="1"/>
  <c r="P198" i="1"/>
  <c r="O198" i="1"/>
  <c r="J198" i="1"/>
  <c r="F198" i="1"/>
  <c r="F196" i="1" s="1"/>
  <c r="E198" i="1"/>
  <c r="E199" i="1" s="1"/>
  <c r="BQ197" i="1"/>
  <c r="BP197" i="1"/>
  <c r="BO197" i="1"/>
  <c r="BL197" i="1"/>
  <c r="BK197" i="1"/>
  <c r="BJ197" i="1"/>
  <c r="BI197" i="1"/>
  <c r="BH197" i="1"/>
  <c r="BG197" i="1"/>
  <c r="BF197" i="1"/>
  <c r="BE197" i="1"/>
  <c r="BD197" i="1"/>
  <c r="BC197" i="1"/>
  <c r="BB197" i="1"/>
  <c r="BA197" i="1"/>
  <c r="AZ197" i="1"/>
  <c r="AY197" i="1"/>
  <c r="AX197" i="1"/>
  <c r="AU197" i="1"/>
  <c r="AS197" i="1"/>
  <c r="AM197" i="1"/>
  <c r="AL197" i="1"/>
  <c r="AF197" i="1"/>
  <c r="AD197" i="1"/>
  <c r="AC197" i="1"/>
  <c r="AA197" i="1"/>
  <c r="Z197" i="1"/>
  <c r="X197" i="1"/>
  <c r="W197" i="1"/>
  <c r="U197" i="1"/>
  <c r="T197" i="1"/>
  <c r="I197" i="1"/>
  <c r="BQ196" i="1"/>
  <c r="BP196" i="1"/>
  <c r="BO196" i="1"/>
  <c r="BK196" i="1"/>
  <c r="BJ196" i="1"/>
  <c r="BI196" i="1"/>
  <c r="BH196" i="1"/>
  <c r="BG196" i="1"/>
  <c r="BF196" i="1"/>
  <c r="BE196" i="1"/>
  <c r="BD196" i="1"/>
  <c r="BC196" i="1"/>
  <c r="BB196" i="1"/>
  <c r="BA196" i="1"/>
  <c r="AX196" i="1"/>
  <c r="AW196" i="1"/>
  <c r="AV196" i="1"/>
  <c r="AU196" i="1"/>
  <c r="AT196" i="1"/>
  <c r="AS196" i="1"/>
  <c r="AN196" i="1"/>
  <c r="AL196" i="1"/>
  <c r="AK196" i="1"/>
  <c r="AQ201" i="1" s="1"/>
  <c r="AG196" i="1"/>
  <c r="AF196" i="1"/>
  <c r="AE196" i="1"/>
  <c r="AC196" i="1"/>
  <c r="AB196" i="1"/>
  <c r="AA196" i="1"/>
  <c r="Z196" i="1"/>
  <c r="Y196" i="1"/>
  <c r="X196" i="1"/>
  <c r="W196" i="1"/>
  <c r="V196" i="1"/>
  <c r="U196" i="1"/>
  <c r="T196" i="1"/>
  <c r="S196" i="1"/>
  <c r="J196" i="1"/>
  <c r="I196" i="1"/>
  <c r="H196" i="1"/>
  <c r="E196" i="1"/>
  <c r="AL195" i="1"/>
  <c r="AF195" i="1"/>
  <c r="AD195" i="1"/>
  <c r="AG195" i="1" s="1"/>
  <c r="AC195" i="1"/>
  <c r="AV194" i="1"/>
  <c r="AW194" i="1" s="1"/>
  <c r="AS194" i="1"/>
  <c r="AO194" i="1"/>
  <c r="AM194" i="1"/>
  <c r="AL194" i="1"/>
  <c r="AI194" i="1"/>
  <c r="AG194" i="1"/>
  <c r="AF194" i="1"/>
  <c r="AD194" i="1"/>
  <c r="Q194" i="1"/>
  <c r="P194" i="1"/>
  <c r="N194" i="1" s="1"/>
  <c r="AW193" i="1"/>
  <c r="AR193" i="1"/>
  <c r="AM193" i="1"/>
  <c r="AH193" i="1"/>
  <c r="AG193" i="1"/>
  <c r="AF193" i="1"/>
  <c r="AD193" i="1"/>
  <c r="S193" i="1"/>
  <c r="Q193" i="1"/>
  <c r="P193" i="1" s="1"/>
  <c r="N193" i="1" s="1"/>
  <c r="AV192" i="1"/>
  <c r="AW192" i="1" s="1"/>
  <c r="AS192" i="1"/>
  <c r="AR192" i="1"/>
  <c r="AM192" i="1"/>
  <c r="AL192" i="1"/>
  <c r="Q192" i="1"/>
  <c r="O192" i="1" s="1"/>
  <c r="AV191" i="1"/>
  <c r="AW191" i="1" s="1"/>
  <c r="AS191" i="1"/>
  <c r="AR191" i="1"/>
  <c r="AO191" i="1"/>
  <c r="AP191" i="1" s="1"/>
  <c r="AP192" i="1" s="1"/>
  <c r="AM191" i="1"/>
  <c r="AF191" i="1"/>
  <c r="AD191" i="1"/>
  <c r="AG191" i="1" s="1"/>
  <c r="AC191" i="1"/>
  <c r="AC192" i="1" s="1"/>
  <c r="AD192" i="1" s="1"/>
  <c r="AG192" i="1" s="1"/>
  <c r="Q191" i="1"/>
  <c r="P191" i="1"/>
  <c r="N191" i="1" s="1"/>
  <c r="O191" i="1"/>
  <c r="AW190" i="1"/>
  <c r="AR190" i="1"/>
  <c r="AM190" i="1"/>
  <c r="AH190" i="1"/>
  <c r="AF190" i="1"/>
  <c r="AD190" i="1"/>
  <c r="AG190" i="1" s="1"/>
  <c r="P190" i="1"/>
  <c r="O190" i="1"/>
  <c r="N190" i="1"/>
  <c r="AR189" i="1"/>
  <c r="AP189" i="1"/>
  <c r="AL189" i="1"/>
  <c r="AC189" i="1"/>
  <c r="AW188" i="1"/>
  <c r="AV188" i="1"/>
  <c r="AS188" i="1"/>
  <c r="AR188" i="1"/>
  <c r="AP188" i="1"/>
  <c r="AO188" i="1"/>
  <c r="AO189" i="1" s="1"/>
  <c r="AM188" i="1"/>
  <c r="AG188" i="1"/>
  <c r="AF188" i="1"/>
  <c r="AD188" i="1"/>
  <c r="AC188" i="1"/>
  <c r="Q188" i="1"/>
  <c r="AW187" i="1"/>
  <c r="AR187" i="1"/>
  <c r="AM187" i="1"/>
  <c r="AG187" i="1"/>
  <c r="AF187" i="1"/>
  <c r="AE187" i="1"/>
  <c r="AH187" i="1" s="1"/>
  <c r="AD187" i="1"/>
  <c r="P187" i="1"/>
  <c r="N187" i="1" s="1"/>
  <c r="O187" i="1"/>
  <c r="AI186" i="1"/>
  <c r="AG186" i="1"/>
  <c r="AC186" i="1"/>
  <c r="AF186" i="1" s="1"/>
  <c r="F186" i="1"/>
  <c r="AL185" i="1"/>
  <c r="AL177" i="1" s="1"/>
  <c r="AJ185" i="1"/>
  <c r="AI185" i="1"/>
  <c r="AG185" i="1"/>
  <c r="AF185" i="1"/>
  <c r="AD185" i="1"/>
  <c r="AD186" i="1" s="1"/>
  <c r="AC185" i="1"/>
  <c r="Q185" i="1"/>
  <c r="O185" i="1" s="1"/>
  <c r="P185" i="1"/>
  <c r="N185" i="1" s="1"/>
  <c r="F185" i="1"/>
  <c r="AR184" i="1"/>
  <c r="AM184" i="1"/>
  <c r="AF184" i="1"/>
  <c r="AE184" i="1"/>
  <c r="AH184" i="1" s="1"/>
  <c r="AD184" i="1"/>
  <c r="AG184" i="1" s="1"/>
  <c r="P184" i="1"/>
  <c r="O184" i="1"/>
  <c r="N184" i="1"/>
  <c r="F184" i="1"/>
  <c r="AS183" i="1"/>
  <c r="AR183" i="1"/>
  <c r="AO183" i="1"/>
  <c r="AM183" i="1"/>
  <c r="AL183" i="1"/>
  <c r="AD183" i="1"/>
  <c r="AG183" i="1" s="1"/>
  <c r="Q183" i="1"/>
  <c r="P183" i="1"/>
  <c r="N183" i="1" s="1"/>
  <c r="O183" i="1"/>
  <c r="AS182" i="1"/>
  <c r="AR182" i="1"/>
  <c r="AO182" i="1"/>
  <c r="AP182" i="1" s="1"/>
  <c r="AP183" i="1" s="1"/>
  <c r="AM182" i="1"/>
  <c r="AG182" i="1"/>
  <c r="AC182" i="1"/>
  <c r="Q182" i="1"/>
  <c r="AX181" i="1"/>
  <c r="AR181" i="1"/>
  <c r="AM181" i="1"/>
  <c r="AF181" i="1"/>
  <c r="AE181" i="1"/>
  <c r="AD181" i="1"/>
  <c r="AG181" i="1" s="1"/>
  <c r="P181" i="1"/>
  <c r="AV181" i="1" s="1"/>
  <c r="AW181" i="1" s="1"/>
  <c r="O181" i="1"/>
  <c r="N181" i="1"/>
  <c r="AP180" i="1"/>
  <c r="AO180" i="1"/>
  <c r="AL180" i="1"/>
  <c r="AJ180" i="1"/>
  <c r="AI180" i="1"/>
  <c r="P180" i="1"/>
  <c r="N180" i="1" s="1"/>
  <c r="I180" i="1"/>
  <c r="I179" i="1" s="1"/>
  <c r="F180" i="1"/>
  <c r="E180" i="1"/>
  <c r="AS179" i="1"/>
  <c r="AP179" i="1"/>
  <c r="AO179" i="1"/>
  <c r="AM179" i="1"/>
  <c r="AJ179" i="1"/>
  <c r="AD179" i="1"/>
  <c r="AC179" i="1"/>
  <c r="Q179" i="1"/>
  <c r="Q180" i="1" s="1"/>
  <c r="O180" i="1" s="1"/>
  <c r="O179" i="1"/>
  <c r="F179" i="1"/>
  <c r="E179" i="1"/>
  <c r="AX178" i="1"/>
  <c r="AV178" i="1"/>
  <c r="AM178" i="1"/>
  <c r="AJ178" i="1"/>
  <c r="AG178" i="1"/>
  <c r="AF178" i="1"/>
  <c r="AF176" i="1" s="1"/>
  <c r="AE178" i="1"/>
  <c r="AH178" i="1" s="1"/>
  <c r="AC178" i="1"/>
  <c r="AD178" i="1" s="1"/>
  <c r="P178" i="1"/>
  <c r="N178" i="1" s="1"/>
  <c r="O178" i="1"/>
  <c r="J178" i="1"/>
  <c r="J176" i="1" s="1"/>
  <c r="F178" i="1"/>
  <c r="F176" i="1" s="1"/>
  <c r="BQ177" i="1"/>
  <c r="BP177" i="1"/>
  <c r="BO177" i="1"/>
  <c r="BL177" i="1"/>
  <c r="BK177" i="1"/>
  <c r="BJ177" i="1"/>
  <c r="BI177" i="1"/>
  <c r="BH177" i="1"/>
  <c r="BG177" i="1"/>
  <c r="BF177" i="1"/>
  <c r="BE177" i="1"/>
  <c r="BD177" i="1"/>
  <c r="BC177" i="1"/>
  <c r="BB177" i="1"/>
  <c r="BA177" i="1"/>
  <c r="AZ177" i="1"/>
  <c r="AY177" i="1"/>
  <c r="AX177" i="1"/>
  <c r="AU177" i="1"/>
  <c r="AT177" i="1"/>
  <c r="AA177" i="1"/>
  <c r="Z177" i="1"/>
  <c r="X177" i="1"/>
  <c r="W177" i="1"/>
  <c r="U177" i="1"/>
  <c r="T177" i="1"/>
  <c r="F177" i="1"/>
  <c r="E177" i="1"/>
  <c r="BQ176" i="1"/>
  <c r="BP176" i="1"/>
  <c r="BO176" i="1"/>
  <c r="BL176" i="1"/>
  <c r="BK176" i="1"/>
  <c r="BJ176" i="1"/>
  <c r="BI176" i="1"/>
  <c r="BH176" i="1"/>
  <c r="BH119" i="1" s="1"/>
  <c r="BH13" i="1" s="1"/>
  <c r="BH9" i="1" s="1"/>
  <c r="BG176" i="1"/>
  <c r="BF176" i="1"/>
  <c r="BE176" i="1"/>
  <c r="BD176" i="1"/>
  <c r="BC176" i="1"/>
  <c r="BB176" i="1"/>
  <c r="BA176" i="1"/>
  <c r="AZ176" i="1"/>
  <c r="AY176" i="1"/>
  <c r="AU176" i="1"/>
  <c r="AT176" i="1"/>
  <c r="AS176" i="1"/>
  <c r="AR176" i="1"/>
  <c r="AQ176" i="1"/>
  <c r="AO176" i="1"/>
  <c r="AN176" i="1"/>
  <c r="AL176" i="1"/>
  <c r="AK176" i="1"/>
  <c r="AJ176" i="1"/>
  <c r="AI176" i="1"/>
  <c r="AG176" i="1"/>
  <c r="AC176" i="1"/>
  <c r="AB176" i="1"/>
  <c r="AA176" i="1"/>
  <c r="Z176" i="1"/>
  <c r="Y176" i="1"/>
  <c r="X176" i="1"/>
  <c r="W176" i="1"/>
  <c r="V176" i="1"/>
  <c r="U176" i="1"/>
  <c r="T176" i="1"/>
  <c r="S176" i="1"/>
  <c r="I176" i="1"/>
  <c r="H176" i="1"/>
  <c r="E176" i="1"/>
  <c r="AW175" i="1"/>
  <c r="AV175" i="1"/>
  <c r="AS175" i="1"/>
  <c r="AR175" i="1"/>
  <c r="AM175" i="1"/>
  <c r="AL175" i="1"/>
  <c r="AG175" i="1"/>
  <c r="Q175" i="1"/>
  <c r="O175" i="1" s="1"/>
  <c r="P175" i="1"/>
  <c r="N175" i="1" s="1"/>
  <c r="AW174" i="1"/>
  <c r="AV174" i="1"/>
  <c r="AS174" i="1"/>
  <c r="AR174" i="1"/>
  <c r="AP174" i="1"/>
  <c r="AP175" i="1" s="1"/>
  <c r="AO174" i="1"/>
  <c r="AO175" i="1" s="1"/>
  <c r="AM174" i="1"/>
  <c r="AF174" i="1"/>
  <c r="AD174" i="1"/>
  <c r="AG174" i="1" s="1"/>
  <c r="AC174" i="1"/>
  <c r="AC175" i="1" s="1"/>
  <c r="AD175" i="1" s="1"/>
  <c r="Q174" i="1"/>
  <c r="P174" i="1"/>
  <c r="N174" i="1" s="1"/>
  <c r="O174" i="1"/>
  <c r="AW173" i="1"/>
  <c r="AR173" i="1"/>
  <c r="AM173" i="1"/>
  <c r="AF173" i="1"/>
  <c r="AE173" i="1"/>
  <c r="AH173" i="1" s="1"/>
  <c r="AD173" i="1"/>
  <c r="AG173" i="1" s="1"/>
  <c r="P173" i="1"/>
  <c r="O173" i="1"/>
  <c r="N173" i="1"/>
  <c r="AM172" i="1"/>
  <c r="AW172" i="1" s="1"/>
  <c r="AL172" i="1"/>
  <c r="AV172" i="1" s="1"/>
  <c r="AJ172" i="1"/>
  <c r="Q172" i="1"/>
  <c r="O172" i="1" s="1"/>
  <c r="P172" i="1"/>
  <c r="N172" i="1" s="1"/>
  <c r="AV171" i="1"/>
  <c r="AS171" i="1"/>
  <c r="AM171" i="1"/>
  <c r="AW171" i="1" s="1"/>
  <c r="AL171" i="1"/>
  <c r="AJ171" i="1"/>
  <c r="AI171" i="1"/>
  <c r="AD171" i="1"/>
  <c r="AG171" i="1" s="1"/>
  <c r="AC171" i="1"/>
  <c r="Q171" i="1"/>
  <c r="P171" i="1" s="1"/>
  <c r="O171" i="1"/>
  <c r="N171" i="1"/>
  <c r="AW170" i="1"/>
  <c r="AR170" i="1"/>
  <c r="AM170" i="1"/>
  <c r="AH170" i="1"/>
  <c r="AF170" i="1"/>
  <c r="AE170" i="1"/>
  <c r="AD170" i="1"/>
  <c r="AG170" i="1" s="1"/>
  <c r="P170" i="1"/>
  <c r="O170" i="1"/>
  <c r="N170" i="1"/>
  <c r="P169" i="1"/>
  <c r="N169" i="1" s="1"/>
  <c r="O169" i="1"/>
  <c r="AL168" i="1"/>
  <c r="AL169" i="1" s="1"/>
  <c r="AI168" i="1"/>
  <c r="AC168" i="1"/>
  <c r="Q168" i="1"/>
  <c r="Q169" i="1" s="1"/>
  <c r="O168" i="1"/>
  <c r="AW167" i="1"/>
  <c r="AR167" i="1"/>
  <c r="AM167" i="1"/>
  <c r="AH167" i="1"/>
  <c r="AE167" i="1"/>
  <c r="AD167" i="1"/>
  <c r="AG167" i="1" s="1"/>
  <c r="AC167" i="1"/>
  <c r="AF167" i="1" s="1"/>
  <c r="P167" i="1"/>
  <c r="O167" i="1"/>
  <c r="N167" i="1"/>
  <c r="AL166" i="1"/>
  <c r="Q166" i="1"/>
  <c r="O166" i="1" s="1"/>
  <c r="P166" i="1"/>
  <c r="N166" i="1" s="1"/>
  <c r="AS165" i="1"/>
  <c r="AM165" i="1"/>
  <c r="AL165" i="1"/>
  <c r="AI165" i="1"/>
  <c r="AC165" i="1"/>
  <c r="Q165" i="1"/>
  <c r="P165" i="1" s="1"/>
  <c r="O165" i="1"/>
  <c r="N165" i="1"/>
  <c r="AR164" i="1"/>
  <c r="AM164" i="1"/>
  <c r="AG164" i="1"/>
  <c r="AF164" i="1"/>
  <c r="AE164" i="1"/>
  <c r="AH164" i="1" s="1"/>
  <c r="AD164" i="1"/>
  <c r="P164" i="1"/>
  <c r="N164" i="1" s="1"/>
  <c r="O164" i="1"/>
  <c r="O153" i="1" s="1"/>
  <c r="AS163" i="1"/>
  <c r="AR163" i="1"/>
  <c r="AM163" i="1"/>
  <c r="AL163" i="1"/>
  <c r="AD163" i="1"/>
  <c r="AG163" i="1" s="1"/>
  <c r="F163" i="1"/>
  <c r="AV162" i="1"/>
  <c r="AS162" i="1"/>
  <c r="AR162" i="1"/>
  <c r="AO162" i="1"/>
  <c r="AM162" i="1"/>
  <c r="AF162" i="1"/>
  <c r="AD162" i="1"/>
  <c r="AG162" i="1" s="1"/>
  <c r="AC162" i="1"/>
  <c r="AC163" i="1" s="1"/>
  <c r="AF163" i="1" s="1"/>
  <c r="Q162" i="1"/>
  <c r="Q163" i="1" s="1"/>
  <c r="P163" i="1" s="1"/>
  <c r="N163" i="1" s="1"/>
  <c r="P162" i="1"/>
  <c r="N162" i="1" s="1"/>
  <c r="O162" i="1"/>
  <c r="F162" i="1"/>
  <c r="AX161" i="1"/>
  <c r="AR161" i="1"/>
  <c r="AM161" i="1"/>
  <c r="AH161" i="1"/>
  <c r="AF161" i="1"/>
  <c r="AE161" i="1"/>
  <c r="AD161" i="1"/>
  <c r="AG161" i="1" s="1"/>
  <c r="P161" i="1"/>
  <c r="AV161" i="1" s="1"/>
  <c r="AW161" i="1" s="1"/>
  <c r="O161" i="1"/>
  <c r="N161" i="1"/>
  <c r="F161" i="1"/>
  <c r="AR160" i="1"/>
  <c r="AL160" i="1"/>
  <c r="AS160" i="1" s="1"/>
  <c r="AD160" i="1"/>
  <c r="AG160" i="1" s="1"/>
  <c r="AC160" i="1"/>
  <c r="AF160" i="1" s="1"/>
  <c r="Q160" i="1"/>
  <c r="P160" i="1" s="1"/>
  <c r="N160" i="1" s="1"/>
  <c r="O160" i="1"/>
  <c r="AS159" i="1"/>
  <c r="AR159" i="1"/>
  <c r="AP159" i="1"/>
  <c r="AP160" i="1" s="1"/>
  <c r="AO159" i="1"/>
  <c r="AO160" i="1" s="1"/>
  <c r="AM159" i="1"/>
  <c r="AM160" i="1" s="1"/>
  <c r="AG159" i="1"/>
  <c r="AD159" i="1"/>
  <c r="AC159" i="1"/>
  <c r="AF159" i="1" s="1"/>
  <c r="Q159" i="1"/>
  <c r="AX158" i="1"/>
  <c r="AR158" i="1"/>
  <c r="AM158" i="1"/>
  <c r="AF158" i="1"/>
  <c r="AE158" i="1"/>
  <c r="AH158" i="1" s="1"/>
  <c r="AD158" i="1"/>
  <c r="AG158" i="1" s="1"/>
  <c r="P158" i="1"/>
  <c r="AV158" i="1" s="1"/>
  <c r="AW158" i="1" s="1"/>
  <c r="O158" i="1"/>
  <c r="N158" i="1"/>
  <c r="AP157" i="1"/>
  <c r="AO157" i="1"/>
  <c r="AL157" i="1"/>
  <c r="AM157" i="1" s="1"/>
  <c r="AJ157" i="1"/>
  <c r="AI157" i="1"/>
  <c r="O157" i="1"/>
  <c r="I157" i="1"/>
  <c r="I156" i="1" s="1"/>
  <c r="F157" i="1"/>
  <c r="E157" i="1"/>
  <c r="AS156" i="1"/>
  <c r="AP156" i="1"/>
  <c r="AO156" i="1"/>
  <c r="AM156" i="1"/>
  <c r="AJ156" i="1"/>
  <c r="AC156" i="1"/>
  <c r="Q156" i="1"/>
  <c r="Q157" i="1" s="1"/>
  <c r="P157" i="1" s="1"/>
  <c r="N157" i="1" s="1"/>
  <c r="O156" i="1"/>
  <c r="E156" i="1"/>
  <c r="AX155" i="1"/>
  <c r="AM155" i="1"/>
  <c r="AJ155" i="1"/>
  <c r="AF155" i="1"/>
  <c r="AF153" i="1" s="1"/>
  <c r="AE155" i="1"/>
  <c r="AH155" i="1" s="1"/>
  <c r="AC155" i="1"/>
  <c r="AD155" i="1" s="1"/>
  <c r="P155" i="1"/>
  <c r="O155" i="1"/>
  <c r="J155" i="1"/>
  <c r="J153" i="1" s="1"/>
  <c r="F155" i="1"/>
  <c r="BQ154" i="1"/>
  <c r="BP154" i="1"/>
  <c r="BO154" i="1"/>
  <c r="BL154" i="1"/>
  <c r="BK154" i="1"/>
  <c r="BJ154" i="1"/>
  <c r="BI154" i="1"/>
  <c r="BH154" i="1"/>
  <c r="BG154" i="1"/>
  <c r="BF154" i="1"/>
  <c r="BE154" i="1"/>
  <c r="BD154" i="1"/>
  <c r="BC154" i="1"/>
  <c r="BB154" i="1"/>
  <c r="BA154" i="1"/>
  <c r="AZ154" i="1"/>
  <c r="AY154" i="1"/>
  <c r="AU154" i="1"/>
  <c r="AT154" i="1"/>
  <c r="AL154" i="1"/>
  <c r="AA154" i="1"/>
  <c r="Z154" i="1"/>
  <c r="Z120" i="1" s="1"/>
  <c r="Z121" i="1" s="1"/>
  <c r="Z15" i="1" s="1"/>
  <c r="X154" i="1"/>
  <c r="X120" i="1" s="1"/>
  <c r="X121" i="1" s="1"/>
  <c r="W154" i="1"/>
  <c r="U154" i="1"/>
  <c r="T154" i="1"/>
  <c r="T120" i="1" s="1"/>
  <c r="T121" i="1" s="1"/>
  <c r="T15" i="1" s="1"/>
  <c r="Q154" i="1"/>
  <c r="BQ153" i="1"/>
  <c r="BP153" i="1"/>
  <c r="BO153" i="1"/>
  <c r="BL153" i="1"/>
  <c r="BK153" i="1"/>
  <c r="BJ153" i="1"/>
  <c r="BI153" i="1"/>
  <c r="BH153" i="1"/>
  <c r="BG153" i="1"/>
  <c r="BG119" i="1" s="1"/>
  <c r="BF153" i="1"/>
  <c r="BE153" i="1"/>
  <c r="BD153" i="1"/>
  <c r="BC153" i="1"/>
  <c r="BC119" i="1" s="1"/>
  <c r="BB153" i="1"/>
  <c r="BA153" i="1"/>
  <c r="AZ153" i="1"/>
  <c r="AY153" i="1"/>
  <c r="AU153" i="1"/>
  <c r="AU119" i="1" s="1"/>
  <c r="AT153" i="1"/>
  <c r="AS153" i="1"/>
  <c r="AQ153" i="1"/>
  <c r="AN153" i="1"/>
  <c r="AM153" i="1"/>
  <c r="AP153" i="1" s="1"/>
  <c r="AL153" i="1"/>
  <c r="AK153" i="1"/>
  <c r="AJ153" i="1"/>
  <c r="AI153" i="1"/>
  <c r="AB153" i="1"/>
  <c r="AA153" i="1"/>
  <c r="AA119" i="1" s="1"/>
  <c r="Z153" i="1"/>
  <c r="Y153" i="1"/>
  <c r="X153" i="1"/>
  <c r="W153" i="1"/>
  <c r="W119" i="1" s="1"/>
  <c r="V153" i="1"/>
  <c r="U153" i="1"/>
  <c r="T153" i="1"/>
  <c r="S153" i="1"/>
  <c r="Q153" i="1"/>
  <c r="I153" i="1"/>
  <c r="H153" i="1"/>
  <c r="F153" i="1"/>
  <c r="E153" i="1"/>
  <c r="AV152" i="1"/>
  <c r="AW152" i="1" s="1"/>
  <c r="AS152" i="1"/>
  <c r="AR152" i="1"/>
  <c r="AM152" i="1"/>
  <c r="AL152" i="1"/>
  <c r="AH152" i="1"/>
  <c r="AG152" i="1"/>
  <c r="AF152" i="1"/>
  <c r="AD152" i="1"/>
  <c r="AC152" i="1"/>
  <c r="Q152" i="1"/>
  <c r="O152" i="1" s="1"/>
  <c r="P152" i="1"/>
  <c r="N152" i="1" s="1"/>
  <c r="AW151" i="1"/>
  <c r="AS151" i="1"/>
  <c r="AR151" i="1"/>
  <c r="AO151" i="1"/>
  <c r="AP151" i="1" s="1"/>
  <c r="AP152" i="1" s="1"/>
  <c r="AM151" i="1"/>
  <c r="AH151" i="1"/>
  <c r="AF151" i="1"/>
  <c r="AD151" i="1"/>
  <c r="AG151" i="1" s="1"/>
  <c r="Q151" i="1"/>
  <c r="P151" i="1" s="1"/>
  <c r="O151" i="1"/>
  <c r="N151" i="1"/>
  <c r="AW150" i="1"/>
  <c r="AR150" i="1"/>
  <c r="AM150" i="1"/>
  <c r="AH150" i="1"/>
  <c r="AF150" i="1"/>
  <c r="AD150" i="1"/>
  <c r="AG150" i="1" s="1"/>
  <c r="P150" i="1"/>
  <c r="N150" i="1" s="1"/>
  <c r="O150" i="1"/>
  <c r="AV149" i="1"/>
  <c r="AW149" i="1" s="1"/>
  <c r="AI149" i="1"/>
  <c r="AC149" i="1"/>
  <c r="AW148" i="1"/>
  <c r="AL148" i="1"/>
  <c r="AO148" i="1" s="1"/>
  <c r="AO149" i="1" s="1"/>
  <c r="AJ148" i="1"/>
  <c r="AJ149" i="1" s="1"/>
  <c r="AI148" i="1"/>
  <c r="AF148" i="1"/>
  <c r="AD148" i="1"/>
  <c r="AG148" i="1" s="1"/>
  <c r="Q148" i="1"/>
  <c r="Q149" i="1" s="1"/>
  <c r="O148" i="1"/>
  <c r="AW147" i="1"/>
  <c r="AR147" i="1"/>
  <c r="AM147" i="1"/>
  <c r="AH147" i="1"/>
  <c r="AF147" i="1"/>
  <c r="AD147" i="1"/>
  <c r="AG147" i="1" s="1"/>
  <c r="P147" i="1"/>
  <c r="N147" i="1" s="1"/>
  <c r="O147" i="1"/>
  <c r="AI146" i="1"/>
  <c r="AC146" i="1"/>
  <c r="AR145" i="1"/>
  <c r="AL145" i="1"/>
  <c r="AI145" i="1"/>
  <c r="AG145" i="1"/>
  <c r="AF145" i="1"/>
  <c r="AD145" i="1"/>
  <c r="AC145" i="1"/>
  <c r="Q145" i="1"/>
  <c r="Q146" i="1" s="1"/>
  <c r="P145" i="1"/>
  <c r="N145" i="1" s="1"/>
  <c r="AW144" i="1"/>
  <c r="AR144" i="1"/>
  <c r="AM144" i="1"/>
  <c r="AG144" i="1"/>
  <c r="AF144" i="1"/>
  <c r="AE144" i="1"/>
  <c r="AH144" i="1" s="1"/>
  <c r="AD144" i="1"/>
  <c r="P144" i="1"/>
  <c r="N144" i="1" s="1"/>
  <c r="O144" i="1"/>
  <c r="AI143" i="1"/>
  <c r="AC143" i="1"/>
  <c r="AF143" i="1" s="1"/>
  <c r="Q143" i="1"/>
  <c r="AL142" i="1"/>
  <c r="AL143" i="1" s="1"/>
  <c r="AV143" i="1" s="1"/>
  <c r="AW143" i="1" s="1"/>
  <c r="AI142" i="1"/>
  <c r="AF142" i="1"/>
  <c r="AD142" i="1"/>
  <c r="AC142" i="1"/>
  <c r="Q142" i="1"/>
  <c r="P142" i="1"/>
  <c r="N142" i="1" s="1"/>
  <c r="O142" i="1"/>
  <c r="AW141" i="1"/>
  <c r="AR141" i="1"/>
  <c r="AM141" i="1"/>
  <c r="AM127" i="1" s="1"/>
  <c r="AF141" i="1"/>
  <c r="AE141" i="1"/>
  <c r="AH141" i="1" s="1"/>
  <c r="AD141" i="1"/>
  <c r="AG141" i="1" s="1"/>
  <c r="AC141" i="1"/>
  <c r="P141" i="1"/>
  <c r="N141" i="1" s="1"/>
  <c r="O141" i="1"/>
  <c r="AI140" i="1"/>
  <c r="AR140" i="1" s="1"/>
  <c r="AC140" i="1"/>
  <c r="AF140" i="1" s="1"/>
  <c r="Q140" i="1"/>
  <c r="AL139" i="1"/>
  <c r="AL140" i="1" s="1"/>
  <c r="AS140" i="1" s="1"/>
  <c r="AI139" i="1"/>
  <c r="AF139" i="1"/>
  <c r="AD139" i="1"/>
  <c r="AG139" i="1" s="1"/>
  <c r="AC139" i="1"/>
  <c r="Q139" i="1"/>
  <c r="P139" i="1"/>
  <c r="N139" i="1" s="1"/>
  <c r="O139" i="1"/>
  <c r="AR138" i="1"/>
  <c r="AM138" i="1"/>
  <c r="AH138" i="1"/>
  <c r="AG138" i="1"/>
  <c r="AF138" i="1"/>
  <c r="AE138" i="1"/>
  <c r="AD138" i="1"/>
  <c r="P138" i="1"/>
  <c r="N138" i="1" s="1"/>
  <c r="O138" i="1"/>
  <c r="AS137" i="1"/>
  <c r="AR137" i="1"/>
  <c r="AL137" i="1"/>
  <c r="Q137" i="1"/>
  <c r="O137" i="1" s="1"/>
  <c r="P137" i="1"/>
  <c r="N137" i="1" s="1"/>
  <c r="AV136" i="1"/>
  <c r="AW136" i="1" s="1"/>
  <c r="AS136" i="1"/>
  <c r="AR136" i="1"/>
  <c r="AO136" i="1"/>
  <c r="AP136" i="1" s="1"/>
  <c r="AP137" i="1" s="1"/>
  <c r="AM136" i="1"/>
  <c r="AM137" i="1" s="1"/>
  <c r="AF136" i="1"/>
  <c r="AD136" i="1"/>
  <c r="AC136" i="1"/>
  <c r="AC137" i="1" s="1"/>
  <c r="AF137" i="1" s="1"/>
  <c r="Q136" i="1"/>
  <c r="P136" i="1"/>
  <c r="N136" i="1" s="1"/>
  <c r="O136" i="1"/>
  <c r="AX135" i="1"/>
  <c r="AR135" i="1"/>
  <c r="AM135" i="1"/>
  <c r="AH135" i="1"/>
  <c r="AG135" i="1"/>
  <c r="AF135" i="1"/>
  <c r="AE135" i="1"/>
  <c r="AD135" i="1"/>
  <c r="P135" i="1"/>
  <c r="N135" i="1" s="1"/>
  <c r="O135" i="1"/>
  <c r="AS134" i="1"/>
  <c r="AR134" i="1"/>
  <c r="AL134" i="1"/>
  <c r="AF134" i="1"/>
  <c r="Q134" i="1"/>
  <c r="O134" i="1" s="1"/>
  <c r="P134" i="1"/>
  <c r="N134" i="1" s="1"/>
  <c r="AV133" i="1"/>
  <c r="AW133" i="1" s="1"/>
  <c r="AS133" i="1"/>
  <c r="AR133" i="1"/>
  <c r="AO133" i="1"/>
  <c r="AP133" i="1" s="1"/>
  <c r="AP134" i="1" s="1"/>
  <c r="AM133" i="1"/>
  <c r="AM134" i="1" s="1"/>
  <c r="AF133" i="1"/>
  <c r="AD133" i="1"/>
  <c r="AC133" i="1"/>
  <c r="AC134" i="1" s="1"/>
  <c r="Q133" i="1"/>
  <c r="P133" i="1"/>
  <c r="N133" i="1" s="1"/>
  <c r="O133" i="1"/>
  <c r="AX132" i="1"/>
  <c r="AR132" i="1"/>
  <c r="AM132" i="1"/>
  <c r="AH132" i="1"/>
  <c r="AG132" i="1"/>
  <c r="AF132" i="1"/>
  <c r="AE132" i="1"/>
  <c r="AD132" i="1"/>
  <c r="P132" i="1"/>
  <c r="N132" i="1" s="1"/>
  <c r="O132" i="1"/>
  <c r="AS131" i="1"/>
  <c r="AM131" i="1"/>
  <c r="AM130" i="1" s="1"/>
  <c r="AJ131" i="1"/>
  <c r="AF131" i="1"/>
  <c r="AD131" i="1"/>
  <c r="AC131" i="1"/>
  <c r="AC130" i="1" s="1"/>
  <c r="AC128" i="1" s="1"/>
  <c r="I131" i="1"/>
  <c r="J131" i="1" s="1"/>
  <c r="J130" i="1" s="1"/>
  <c r="J128" i="1" s="1"/>
  <c r="F131" i="1"/>
  <c r="F130" i="1" s="1"/>
  <c r="E131" i="1"/>
  <c r="E130" i="1" s="1"/>
  <c r="AL130" i="1"/>
  <c r="AO130" i="1" s="1"/>
  <c r="AJ130" i="1"/>
  <c r="AI130" i="1"/>
  <c r="AF130" i="1"/>
  <c r="AF128" i="1" s="1"/>
  <c r="Q130" i="1"/>
  <c r="O130" i="1" s="1"/>
  <c r="P130" i="1"/>
  <c r="I130" i="1"/>
  <c r="I128" i="1" s="1"/>
  <c r="AX129" i="1"/>
  <c r="AX138" i="1" s="1"/>
  <c r="AX127" i="1" s="1"/>
  <c r="AW129" i="1"/>
  <c r="AV129" i="1"/>
  <c r="AM129" i="1"/>
  <c r="AJ129" i="1"/>
  <c r="AJ127" i="1" s="1"/>
  <c r="AH129" i="1"/>
  <c r="AH127" i="1" s="1"/>
  <c r="AE129" i="1"/>
  <c r="AD129" i="1"/>
  <c r="AC129" i="1"/>
  <c r="AF129" i="1" s="1"/>
  <c r="AF127" i="1" s="1"/>
  <c r="P129" i="1"/>
  <c r="O129" i="1"/>
  <c r="N129" i="1"/>
  <c r="J129" i="1"/>
  <c r="F129" i="1"/>
  <c r="BQ128" i="1"/>
  <c r="BQ120" i="1" s="1"/>
  <c r="BP128" i="1"/>
  <c r="BO128" i="1"/>
  <c r="BL128" i="1"/>
  <c r="BK128" i="1"/>
  <c r="BJ128" i="1"/>
  <c r="BI128" i="1"/>
  <c r="BH128" i="1"/>
  <c r="BG128" i="1"/>
  <c r="BF128" i="1"/>
  <c r="BE128" i="1"/>
  <c r="BD128" i="1"/>
  <c r="BC128" i="1"/>
  <c r="BB128" i="1"/>
  <c r="BA128" i="1"/>
  <c r="AZ128" i="1"/>
  <c r="AY128" i="1"/>
  <c r="AX128" i="1"/>
  <c r="AX120" i="1" s="1"/>
  <c r="AX121" i="1" s="1"/>
  <c r="AU128" i="1"/>
  <c r="AT128" i="1"/>
  <c r="AQ128" i="1"/>
  <c r="AN128" i="1"/>
  <c r="AL128" i="1"/>
  <c r="AK128" i="1"/>
  <c r="AI128" i="1"/>
  <c r="AA128" i="1"/>
  <c r="AA120" i="1" s="1"/>
  <c r="AA121" i="1" s="1"/>
  <c r="AA15" i="1" s="1"/>
  <c r="Z128" i="1"/>
  <c r="X128" i="1"/>
  <c r="W128" i="1"/>
  <c r="U128" i="1"/>
  <c r="T128" i="1"/>
  <c r="F128" i="1"/>
  <c r="BQ127" i="1"/>
  <c r="BP127" i="1"/>
  <c r="BP119" i="1" s="1"/>
  <c r="BO127" i="1"/>
  <c r="BL127" i="1"/>
  <c r="BK127" i="1"/>
  <c r="BJ127" i="1"/>
  <c r="BI127" i="1"/>
  <c r="BH127" i="1"/>
  <c r="BG127" i="1"/>
  <c r="BF127" i="1"/>
  <c r="BE127" i="1"/>
  <c r="BD127" i="1"/>
  <c r="BC127" i="1"/>
  <c r="BB127" i="1"/>
  <c r="BA127" i="1"/>
  <c r="AZ127" i="1"/>
  <c r="AY127" i="1"/>
  <c r="AU127" i="1"/>
  <c r="AT127" i="1"/>
  <c r="AS127" i="1"/>
  <c r="AR127" i="1"/>
  <c r="AQ127" i="1"/>
  <c r="AO127" i="1"/>
  <c r="AN127" i="1"/>
  <c r="AL127" i="1"/>
  <c r="AK127" i="1"/>
  <c r="AI127" i="1"/>
  <c r="AC127" i="1"/>
  <c r="AB127" i="1"/>
  <c r="AA127" i="1"/>
  <c r="Z127" i="1"/>
  <c r="Y127" i="1"/>
  <c r="X127" i="1"/>
  <c r="W127" i="1"/>
  <c r="V127" i="1"/>
  <c r="U127" i="1"/>
  <c r="T127" i="1"/>
  <c r="S127" i="1"/>
  <c r="Q127" i="1"/>
  <c r="J127" i="1"/>
  <c r="I127" i="1"/>
  <c r="H127" i="1"/>
  <c r="F127" i="1"/>
  <c r="E127" i="1"/>
  <c r="AO126" i="1"/>
  <c r="AP126" i="1" s="1"/>
  <c r="AM126" i="1"/>
  <c r="AL126" i="1"/>
  <c r="AS126" i="1" s="1"/>
  <c r="AI126" i="1"/>
  <c r="AJ126" i="1" s="1"/>
  <c r="AJ125" i="1" s="1"/>
  <c r="AJ123" i="1" s="1"/>
  <c r="AG126" i="1"/>
  <c r="AF126" i="1"/>
  <c r="Q126" i="1"/>
  <c r="O126" i="1" s="1"/>
  <c r="P126" i="1"/>
  <c r="N126" i="1" s="1"/>
  <c r="I126" i="1"/>
  <c r="F126" i="1"/>
  <c r="E126" i="1"/>
  <c r="AV125" i="1"/>
  <c r="AM125" i="1"/>
  <c r="AM123" i="1" s="1"/>
  <c r="AL125" i="1"/>
  <c r="AS125" i="1" s="1"/>
  <c r="AS123" i="1" s="1"/>
  <c r="AI125" i="1"/>
  <c r="AO125" i="1" s="1"/>
  <c r="AG125" i="1"/>
  <c r="AG123" i="1" s="1"/>
  <c r="AF125" i="1"/>
  <c r="Q125" i="1"/>
  <c r="P125" i="1"/>
  <c r="N125" i="1" s="1"/>
  <c r="N123" i="1" s="1"/>
  <c r="O125" i="1"/>
  <c r="O123" i="1" s="1"/>
  <c r="F125" i="1"/>
  <c r="F123" i="1" s="1"/>
  <c r="E125" i="1"/>
  <c r="AX124" i="1"/>
  <c r="AV124" i="1"/>
  <c r="AM124" i="1"/>
  <c r="AM122" i="1" s="1"/>
  <c r="AJ124" i="1"/>
  <c r="AH124" i="1"/>
  <c r="AG124" i="1"/>
  <c r="AG122" i="1" s="1"/>
  <c r="AF124" i="1"/>
  <c r="P124" i="1"/>
  <c r="O124" i="1"/>
  <c r="O122" i="1" s="1"/>
  <c r="N124" i="1"/>
  <c r="N122" i="1" s="1"/>
  <c r="J124" i="1"/>
  <c r="F124" i="1"/>
  <c r="BQ123" i="1"/>
  <c r="BP123" i="1"/>
  <c r="BO123" i="1"/>
  <c r="BL123" i="1"/>
  <c r="BK123" i="1"/>
  <c r="BK120" i="1" s="1"/>
  <c r="BK121" i="1" s="1"/>
  <c r="BJ123" i="1"/>
  <c r="BJ120" i="1" s="1"/>
  <c r="BJ121" i="1" s="1"/>
  <c r="BI123" i="1"/>
  <c r="BH123" i="1"/>
  <c r="BG123" i="1"/>
  <c r="BG120" i="1" s="1"/>
  <c r="BG121" i="1" s="1"/>
  <c r="BF123" i="1"/>
  <c r="BF120" i="1" s="1"/>
  <c r="BF121" i="1" s="1"/>
  <c r="BE123" i="1"/>
  <c r="BD123" i="1"/>
  <c r="BC123" i="1"/>
  <c r="BC120" i="1" s="1"/>
  <c r="BC121" i="1" s="1"/>
  <c r="BB123" i="1"/>
  <c r="BB120" i="1" s="1"/>
  <c r="BB121" i="1" s="1"/>
  <c r="BA123" i="1"/>
  <c r="AZ123" i="1"/>
  <c r="AY123" i="1"/>
  <c r="AY120" i="1" s="1"/>
  <c r="AY121" i="1" s="1"/>
  <c r="AU123" i="1"/>
  <c r="AT123" i="1"/>
  <c r="AL123" i="1"/>
  <c r="AI123" i="1"/>
  <c r="AR123" i="1" s="1"/>
  <c r="AF123" i="1"/>
  <c r="AD123" i="1"/>
  <c r="AC123" i="1"/>
  <c r="AA123" i="1"/>
  <c r="Z123" i="1"/>
  <c r="X123" i="1"/>
  <c r="W123" i="1"/>
  <c r="U123" i="1"/>
  <c r="T123" i="1"/>
  <c r="Q123" i="1"/>
  <c r="P123" i="1"/>
  <c r="E123" i="1"/>
  <c r="BQ122" i="1"/>
  <c r="BP122" i="1"/>
  <c r="BO122" i="1"/>
  <c r="BL122" i="1"/>
  <c r="BK122" i="1"/>
  <c r="BJ122" i="1"/>
  <c r="BI122" i="1"/>
  <c r="BI119" i="1" s="1"/>
  <c r="BH122" i="1"/>
  <c r="BG122" i="1"/>
  <c r="BF122" i="1"/>
  <c r="BE122" i="1"/>
  <c r="BE119" i="1" s="1"/>
  <c r="BD122" i="1"/>
  <c r="BC122" i="1"/>
  <c r="BB122" i="1"/>
  <c r="BA122" i="1"/>
  <c r="BA119" i="1" s="1"/>
  <c r="AZ122" i="1"/>
  <c r="AY122" i="1"/>
  <c r="AX122" i="1"/>
  <c r="AU122" i="1"/>
  <c r="AT122" i="1"/>
  <c r="AT119" i="1" s="1"/>
  <c r="AS122" i="1"/>
  <c r="AR122" i="1"/>
  <c r="AQ122" i="1"/>
  <c r="AP122" i="1"/>
  <c r="AO122" i="1"/>
  <c r="AN122" i="1"/>
  <c r="AL122" i="1"/>
  <c r="AK122" i="1"/>
  <c r="AJ122" i="1"/>
  <c r="AI122" i="1"/>
  <c r="AH122" i="1"/>
  <c r="AF122" i="1"/>
  <c r="AE122" i="1"/>
  <c r="AD122" i="1"/>
  <c r="AC122" i="1"/>
  <c r="AB122" i="1"/>
  <c r="AA122" i="1"/>
  <c r="Z122" i="1"/>
  <c r="Z119" i="1" s="1"/>
  <c r="Y122" i="1"/>
  <c r="Y119" i="1" s="1"/>
  <c r="X122" i="1"/>
  <c r="W122" i="1"/>
  <c r="V122" i="1"/>
  <c r="V119" i="1" s="1"/>
  <c r="U122" i="1"/>
  <c r="U119" i="1" s="1"/>
  <c r="T122" i="1"/>
  <c r="S122" i="1"/>
  <c r="Q122" i="1"/>
  <c r="P122" i="1"/>
  <c r="J122" i="1"/>
  <c r="I122" i="1"/>
  <c r="I119" i="1" s="1"/>
  <c r="H122" i="1"/>
  <c r="F122" i="1"/>
  <c r="E122" i="1"/>
  <c r="BQ121" i="1"/>
  <c r="BN121" i="1"/>
  <c r="BO120" i="1"/>
  <c r="BO121" i="1" s="1"/>
  <c r="BN120" i="1"/>
  <c r="BI120" i="1"/>
  <c r="BI121" i="1" s="1"/>
  <c r="BE120" i="1"/>
  <c r="BE121" i="1" s="1"/>
  <c r="BA120" i="1"/>
  <c r="BA121" i="1" s="1"/>
  <c r="W120" i="1"/>
  <c r="W121" i="1" s="1"/>
  <c r="U120" i="1"/>
  <c r="U121" i="1" s="1"/>
  <c r="BQ119" i="1"/>
  <c r="BN119" i="1"/>
  <c r="BD119" i="1"/>
  <c r="AB119" i="1"/>
  <c r="X119" i="1"/>
  <c r="T119" i="1"/>
  <c r="H119" i="1"/>
  <c r="BP118" i="1"/>
  <c r="BP105" i="1" s="1"/>
  <c r="BP104" i="1" s="1"/>
  <c r="AR118" i="1"/>
  <c r="AQ118" i="1"/>
  <c r="AL118" i="1"/>
  <c r="AJ118" i="1"/>
  <c r="AI118" i="1"/>
  <c r="AH118" i="1"/>
  <c r="AC118" i="1"/>
  <c r="AF118" i="1" s="1"/>
  <c r="Q118" i="1"/>
  <c r="P118" i="1" s="1"/>
  <c r="J118" i="1"/>
  <c r="I118" i="1"/>
  <c r="E118" i="1"/>
  <c r="F118" i="1" s="1"/>
  <c r="BP117" i="1"/>
  <c r="AU117" i="1"/>
  <c r="AU118" i="1" s="1"/>
  <c r="AU105" i="1" s="1"/>
  <c r="AR117" i="1"/>
  <c r="AQ117" i="1"/>
  <c r="AO117" i="1"/>
  <c r="AM117" i="1"/>
  <c r="AP117" i="1" s="1"/>
  <c r="AJ117" i="1"/>
  <c r="AH117" i="1"/>
  <c r="AG117" i="1"/>
  <c r="AF117" i="1"/>
  <c r="AD117" i="1"/>
  <c r="Q117" i="1"/>
  <c r="P117" i="1"/>
  <c r="O117" i="1"/>
  <c r="J117" i="1"/>
  <c r="F117" i="1"/>
  <c r="AW116" i="1"/>
  <c r="AV116" i="1"/>
  <c r="AV117" i="1" s="1"/>
  <c r="AR116" i="1"/>
  <c r="AQ116" i="1"/>
  <c r="AL116" i="1"/>
  <c r="AO116" i="1" s="1"/>
  <c r="AJ116" i="1"/>
  <c r="AH116" i="1"/>
  <c r="AF116" i="1"/>
  <c r="AD116" i="1"/>
  <c r="AG116" i="1" s="1"/>
  <c r="P116" i="1"/>
  <c r="O116" i="1"/>
  <c r="N116" i="1"/>
  <c r="J116" i="1"/>
  <c r="F116" i="1"/>
  <c r="AU115" i="1"/>
  <c r="AU106" i="1" s="1"/>
  <c r="AU16" i="1" s="1"/>
  <c r="AU12" i="1" s="1"/>
  <c r="AT115" i="1"/>
  <c r="AS115" i="1"/>
  <c r="AR115" i="1"/>
  <c r="AQ115" i="1"/>
  <c r="AL115" i="1"/>
  <c r="AJ115" i="1"/>
  <c r="AI115" i="1"/>
  <c r="AH115" i="1"/>
  <c r="AH106" i="1" s="1"/>
  <c r="AC115" i="1"/>
  <c r="AD115" i="1" s="1"/>
  <c r="AD106" i="1" s="1"/>
  <c r="AA115" i="1"/>
  <c r="AG115" i="1" s="1"/>
  <c r="AG106" i="1" s="1"/>
  <c r="AG16" i="1" s="1"/>
  <c r="AG12" i="1" s="1"/>
  <c r="Z115" i="1"/>
  <c r="AF115" i="1" s="1"/>
  <c r="AF106" i="1" s="1"/>
  <c r="I115" i="1"/>
  <c r="J115" i="1" s="1"/>
  <c r="J106" i="1" s="1"/>
  <c r="F115" i="1"/>
  <c r="F106" i="1" s="1"/>
  <c r="E115" i="1"/>
  <c r="AV114" i="1"/>
  <c r="AW114" i="1" s="1"/>
  <c r="AU114" i="1"/>
  <c r="AR114" i="1"/>
  <c r="AQ114" i="1"/>
  <c r="AP114" i="1"/>
  <c r="AO114" i="1"/>
  <c r="AM114" i="1"/>
  <c r="AJ114" i="1"/>
  <c r="AH114" i="1"/>
  <c r="AG114" i="1"/>
  <c r="AF114" i="1"/>
  <c r="AD114" i="1"/>
  <c r="AA114" i="1"/>
  <c r="Q114" i="1"/>
  <c r="J114" i="1"/>
  <c r="F114" i="1"/>
  <c r="AV113" i="1"/>
  <c r="AW113" i="1" s="1"/>
  <c r="AR113" i="1"/>
  <c r="AQ113" i="1"/>
  <c r="AO113" i="1"/>
  <c r="AM113" i="1"/>
  <c r="AL113" i="1"/>
  <c r="AJ113" i="1"/>
  <c r="AP113" i="1" s="1"/>
  <c r="AH113" i="1"/>
  <c r="AF113" i="1"/>
  <c r="AD113" i="1"/>
  <c r="AA113" i="1"/>
  <c r="AG113" i="1" s="1"/>
  <c r="P113" i="1"/>
  <c r="O113" i="1"/>
  <c r="O114" i="1" s="1"/>
  <c r="N114" i="1" s="1"/>
  <c r="N113" i="1"/>
  <c r="N103" i="1" s="1"/>
  <c r="J113" i="1"/>
  <c r="F113" i="1"/>
  <c r="AW112" i="1"/>
  <c r="AR112" i="1"/>
  <c r="AQ112" i="1"/>
  <c r="AP112" i="1"/>
  <c r="AO112" i="1"/>
  <c r="AH112" i="1"/>
  <c r="AG112" i="1"/>
  <c r="AF112" i="1"/>
  <c r="O112" i="1"/>
  <c r="I112" i="1"/>
  <c r="J112" i="1" s="1"/>
  <c r="AW111" i="1"/>
  <c r="AR111" i="1"/>
  <c r="AQ111" i="1"/>
  <c r="AP111" i="1"/>
  <c r="AO111" i="1"/>
  <c r="AH111" i="1"/>
  <c r="AG111" i="1"/>
  <c r="AF111" i="1"/>
  <c r="P111" i="1"/>
  <c r="Q111" i="1" s="1"/>
  <c r="O111" i="1"/>
  <c r="N111" i="1"/>
  <c r="N112" i="1" s="1"/>
  <c r="J111" i="1"/>
  <c r="E111" i="1"/>
  <c r="BC110" i="1"/>
  <c r="AW110" i="1"/>
  <c r="AR110" i="1"/>
  <c r="AQ110" i="1"/>
  <c r="AO110" i="1"/>
  <c r="AM110" i="1"/>
  <c r="AP110" i="1" s="1"/>
  <c r="AH110" i="1"/>
  <c r="AG110" i="1"/>
  <c r="AF110" i="1"/>
  <c r="S110" i="1"/>
  <c r="Q110" i="1"/>
  <c r="P110" i="1"/>
  <c r="O110" i="1"/>
  <c r="J110" i="1"/>
  <c r="H110" i="1"/>
  <c r="F110" i="1"/>
  <c r="E110" i="1"/>
  <c r="AV109" i="1"/>
  <c r="AR109" i="1"/>
  <c r="AQ109" i="1"/>
  <c r="AP109" i="1"/>
  <c r="AO109" i="1"/>
  <c r="AM109" i="1"/>
  <c r="AJ109" i="1"/>
  <c r="AH109" i="1"/>
  <c r="W109" i="1"/>
  <c r="U109" i="1"/>
  <c r="U105" i="1" s="1"/>
  <c r="U15" i="1" s="1"/>
  <c r="P109" i="1"/>
  <c r="N109" i="1" s="1"/>
  <c r="O109" i="1" s="1"/>
  <c r="I109" i="1"/>
  <c r="I105" i="1" s="1"/>
  <c r="F109" i="1"/>
  <c r="E109" i="1"/>
  <c r="AW108" i="1"/>
  <c r="AR108" i="1"/>
  <c r="AQ108" i="1"/>
  <c r="AO108" i="1"/>
  <c r="AM108" i="1"/>
  <c r="AJ108" i="1"/>
  <c r="AH108" i="1"/>
  <c r="X108" i="1"/>
  <c r="W108" i="1"/>
  <c r="T108" i="1"/>
  <c r="T109" i="1" s="1"/>
  <c r="T105" i="1" s="1"/>
  <c r="T104" i="1" s="1"/>
  <c r="Q108" i="1"/>
  <c r="P108" i="1"/>
  <c r="N108" i="1"/>
  <c r="O108" i="1" s="1"/>
  <c r="J108" i="1"/>
  <c r="F108" i="1"/>
  <c r="E108" i="1"/>
  <c r="BC107" i="1"/>
  <c r="AW107" i="1"/>
  <c r="AW103" i="1" s="1"/>
  <c r="AV107" i="1"/>
  <c r="AR107" i="1"/>
  <c r="AQ107" i="1"/>
  <c r="AP107" i="1"/>
  <c r="AO107" i="1"/>
  <c r="AM107" i="1"/>
  <c r="AJ107" i="1"/>
  <c r="AH107" i="1"/>
  <c r="AE107" i="1"/>
  <c r="AC107" i="1" s="1"/>
  <c r="AC103" i="1" s="1"/>
  <c r="AB107" i="1"/>
  <c r="Z107" i="1"/>
  <c r="Y107" i="1"/>
  <c r="W107" i="1"/>
  <c r="W103" i="1" s="1"/>
  <c r="V107" i="1"/>
  <c r="S107" i="1"/>
  <c r="S103" i="1" s="1"/>
  <c r="Q107" i="1"/>
  <c r="Q103" i="1" s="1"/>
  <c r="O107" i="1"/>
  <c r="N107" i="1"/>
  <c r="J107" i="1"/>
  <c r="J103" i="1" s="1"/>
  <c r="H107" i="1"/>
  <c r="H103" i="1" s="1"/>
  <c r="F107" i="1"/>
  <c r="BQ106" i="1"/>
  <c r="BP106" i="1"/>
  <c r="BO106" i="1"/>
  <c r="BO16" i="1" s="1"/>
  <c r="BO12" i="1" s="1"/>
  <c r="BN106" i="1"/>
  <c r="BL106" i="1"/>
  <c r="BK106" i="1"/>
  <c r="BK104" i="1" s="1"/>
  <c r="BJ106" i="1"/>
  <c r="BJ16" i="1" s="1"/>
  <c r="BJ12" i="1" s="1"/>
  <c r="BI106" i="1"/>
  <c r="BH106" i="1"/>
  <c r="BG106" i="1"/>
  <c r="BG104" i="1" s="1"/>
  <c r="BF106" i="1"/>
  <c r="BF16" i="1" s="1"/>
  <c r="BF12" i="1" s="1"/>
  <c r="BE106" i="1"/>
  <c r="BD106" i="1"/>
  <c r="BC106" i="1"/>
  <c r="BC104" i="1" s="1"/>
  <c r="BB106" i="1"/>
  <c r="BB16" i="1" s="1"/>
  <c r="BB12" i="1" s="1"/>
  <c r="BA106" i="1"/>
  <c r="AZ106" i="1"/>
  <c r="AY106" i="1"/>
  <c r="AY104" i="1" s="1"/>
  <c r="AX106" i="1"/>
  <c r="AT106" i="1"/>
  <c r="AS106" i="1"/>
  <c r="AJ106" i="1"/>
  <c r="AJ104" i="1" s="1"/>
  <c r="AI106" i="1"/>
  <c r="AR106" i="1" s="1"/>
  <c r="AE106" i="1"/>
  <c r="AB106" i="1"/>
  <c r="AB104" i="1" s="1"/>
  <c r="AA106" i="1"/>
  <c r="AA16" i="1" s="1"/>
  <c r="AA12" i="1" s="1"/>
  <c r="Z106" i="1"/>
  <c r="Y106" i="1"/>
  <c r="X106" i="1"/>
  <c r="W106" i="1"/>
  <c r="W16" i="1" s="1"/>
  <c r="W12" i="1" s="1"/>
  <c r="V106" i="1"/>
  <c r="U106" i="1"/>
  <c r="T106" i="1"/>
  <c r="S106" i="1"/>
  <c r="R106" i="1"/>
  <c r="M106" i="1"/>
  <c r="L106" i="1"/>
  <c r="K106" i="1"/>
  <c r="E106" i="1"/>
  <c r="BQ105" i="1"/>
  <c r="BO105" i="1"/>
  <c r="BO104" i="1" s="1"/>
  <c r="BN105" i="1"/>
  <c r="BN104" i="1" s="1"/>
  <c r="BL105" i="1"/>
  <c r="BK105" i="1"/>
  <c r="BJ105" i="1"/>
  <c r="BJ104" i="1" s="1"/>
  <c r="BI105" i="1"/>
  <c r="BI104" i="1" s="1"/>
  <c r="BH105" i="1"/>
  <c r="BG105" i="1"/>
  <c r="BF105" i="1"/>
  <c r="BF104" i="1" s="1"/>
  <c r="BE105" i="1"/>
  <c r="BE104" i="1" s="1"/>
  <c r="BD105" i="1"/>
  <c r="BC105" i="1"/>
  <c r="BB105" i="1"/>
  <c r="BB104" i="1" s="1"/>
  <c r="BA105" i="1"/>
  <c r="BA104" i="1" s="1"/>
  <c r="AZ105" i="1"/>
  <c r="AY105" i="1"/>
  <c r="AX105" i="1"/>
  <c r="AX104" i="1" s="1"/>
  <c r="AT105" i="1"/>
  <c r="AS105" i="1"/>
  <c r="AS104" i="1" s="1"/>
  <c r="AJ105" i="1"/>
  <c r="AI105" i="1"/>
  <c r="AR105" i="1" s="1"/>
  <c r="AH105" i="1"/>
  <c r="AE105" i="1"/>
  <c r="AE104" i="1" s="1"/>
  <c r="AB105" i="1"/>
  <c r="AA105" i="1"/>
  <c r="Z105" i="1"/>
  <c r="Z104" i="1" s="1"/>
  <c r="Y105" i="1"/>
  <c r="W105" i="1"/>
  <c r="V105" i="1"/>
  <c r="V104" i="1" s="1"/>
  <c r="S105" i="1"/>
  <c r="S104" i="1" s="1"/>
  <c r="R105" i="1"/>
  <c r="M105" i="1"/>
  <c r="L105" i="1"/>
  <c r="K105" i="1"/>
  <c r="K104" i="1" s="1"/>
  <c r="BQ104" i="1"/>
  <c r="BL104" i="1"/>
  <c r="BH104" i="1"/>
  <c r="BD104" i="1"/>
  <c r="AZ104" i="1"/>
  <c r="Y104" i="1"/>
  <c r="M104" i="1"/>
  <c r="L104" i="1"/>
  <c r="BQ103" i="1"/>
  <c r="BP103" i="1"/>
  <c r="BO103" i="1"/>
  <c r="BN103" i="1"/>
  <c r="BL103" i="1"/>
  <c r="BK103" i="1"/>
  <c r="BJ103" i="1"/>
  <c r="BI103" i="1"/>
  <c r="BH103" i="1"/>
  <c r="BG103" i="1"/>
  <c r="BF103" i="1"/>
  <c r="BE103" i="1"/>
  <c r="BD103" i="1"/>
  <c r="BB103" i="1"/>
  <c r="BA103" i="1"/>
  <c r="AZ103" i="1"/>
  <c r="AY103" i="1"/>
  <c r="AX103" i="1"/>
  <c r="AV103" i="1"/>
  <c r="AU103" i="1"/>
  <c r="AT103" i="1"/>
  <c r="AS103" i="1"/>
  <c r="AR103" i="1"/>
  <c r="AN103" i="1"/>
  <c r="AK103" i="1"/>
  <c r="AJ103" i="1"/>
  <c r="AI103" i="1"/>
  <c r="AB103" i="1"/>
  <c r="Y103" i="1"/>
  <c r="P103" i="1"/>
  <c r="O103" i="1"/>
  <c r="I103" i="1"/>
  <c r="F103" i="1"/>
  <c r="E103" i="1"/>
  <c r="AV102" i="1"/>
  <c r="AW102" i="1" s="1"/>
  <c r="AS102" i="1"/>
  <c r="AR102" i="1"/>
  <c r="AP102" i="1"/>
  <c r="AO102" i="1"/>
  <c r="AM102" i="1"/>
  <c r="AJ102" i="1"/>
  <c r="J102" i="1"/>
  <c r="F102" i="1"/>
  <c r="AL101" i="1"/>
  <c r="AG101" i="1"/>
  <c r="AF101" i="1"/>
  <c r="O101" i="1"/>
  <c r="Q101" i="1" s="1"/>
  <c r="AV100" i="1"/>
  <c r="AV101" i="1" s="1"/>
  <c r="AT100" i="1"/>
  <c r="AR100" i="1"/>
  <c r="AM100" i="1"/>
  <c r="AW100" i="1" s="1"/>
  <c r="AJ100" i="1"/>
  <c r="AI100" i="1"/>
  <c r="AI101" i="1" s="1"/>
  <c r="AJ101" i="1" s="1"/>
  <c r="AG100" i="1"/>
  <c r="AF100" i="1"/>
  <c r="Q100" i="1"/>
  <c r="O100" i="1"/>
  <c r="J100" i="1"/>
  <c r="I100" i="1"/>
  <c r="I101" i="1" s="1"/>
  <c r="E101" i="1" s="1"/>
  <c r="E100" i="1"/>
  <c r="AW99" i="1"/>
  <c r="AV99" i="1"/>
  <c r="AR99" i="1"/>
  <c r="AP99" i="1"/>
  <c r="AO99" i="1"/>
  <c r="AM99" i="1"/>
  <c r="AJ99" i="1"/>
  <c r="AG99" i="1"/>
  <c r="AF99" i="1"/>
  <c r="Q99" i="1"/>
  <c r="N99" i="1"/>
  <c r="P99" i="1" s="1"/>
  <c r="J99" i="1"/>
  <c r="F99" i="1" s="1"/>
  <c r="E99" i="1"/>
  <c r="AO98" i="1"/>
  <c r="AM98" i="1"/>
  <c r="AL98" i="1"/>
  <c r="AR98" i="1" s="1"/>
  <c r="AJ98" i="1"/>
  <c r="AP98" i="1" s="1"/>
  <c r="AG98" i="1"/>
  <c r="AF98" i="1"/>
  <c r="O98" i="1"/>
  <c r="Q98" i="1" s="1"/>
  <c r="AT97" i="1"/>
  <c r="AT98" i="1" s="1"/>
  <c r="AR97" i="1"/>
  <c r="AO97" i="1"/>
  <c r="AM97" i="1"/>
  <c r="AP97" i="1" s="1"/>
  <c r="AJ97" i="1"/>
  <c r="AG97" i="1"/>
  <c r="AF97" i="1"/>
  <c r="Q97" i="1"/>
  <c r="O97" i="1"/>
  <c r="N97" i="1"/>
  <c r="N98" i="1" s="1"/>
  <c r="P98" i="1" s="1"/>
  <c r="AJ96" i="1"/>
  <c r="AG96" i="1"/>
  <c r="AF96" i="1"/>
  <c r="Q96" i="1"/>
  <c r="P96" i="1"/>
  <c r="N96" i="1"/>
  <c r="AT95" i="1"/>
  <c r="AO95" i="1"/>
  <c r="AM95" i="1"/>
  <c r="AP95" i="1" s="1"/>
  <c r="AL95" i="1"/>
  <c r="AR95" i="1" s="1"/>
  <c r="AJ95" i="1"/>
  <c r="AG95" i="1"/>
  <c r="AF95" i="1"/>
  <c r="O95" i="1"/>
  <c r="Q95" i="1" s="1"/>
  <c r="AT94" i="1"/>
  <c r="AR94" i="1"/>
  <c r="AO94" i="1"/>
  <c r="AM94" i="1"/>
  <c r="AP94" i="1" s="1"/>
  <c r="AJ94" i="1"/>
  <c r="AG94" i="1"/>
  <c r="AF94" i="1"/>
  <c r="Q94" i="1"/>
  <c r="O94" i="1"/>
  <c r="AJ93" i="1"/>
  <c r="AG93" i="1"/>
  <c r="AF93" i="1"/>
  <c r="Q93" i="1"/>
  <c r="N93" i="1"/>
  <c r="AT92" i="1"/>
  <c r="AR92" i="1"/>
  <c r="AL92" i="1"/>
  <c r="AJ92" i="1"/>
  <c r="AG92" i="1"/>
  <c r="AF92" i="1"/>
  <c r="AT91" i="1"/>
  <c r="AR91" i="1"/>
  <c r="AP91" i="1"/>
  <c r="AO91" i="1"/>
  <c r="AM91" i="1"/>
  <c r="AJ91" i="1"/>
  <c r="AG91" i="1"/>
  <c r="AF91" i="1"/>
  <c r="O91" i="1"/>
  <c r="AV90" i="1"/>
  <c r="AV91" i="1" s="1"/>
  <c r="AV92" i="1" s="1"/>
  <c r="AW92" i="1" s="1"/>
  <c r="AR90" i="1"/>
  <c r="AO90" i="1"/>
  <c r="AM90" i="1"/>
  <c r="AJ90" i="1"/>
  <c r="AG90" i="1"/>
  <c r="AF90" i="1"/>
  <c r="Q90" i="1"/>
  <c r="P90" i="1"/>
  <c r="N90" i="1"/>
  <c r="N91" i="1" s="1"/>
  <c r="AT89" i="1"/>
  <c r="AO89" i="1"/>
  <c r="AM89" i="1"/>
  <c r="AP89" i="1" s="1"/>
  <c r="AL89" i="1"/>
  <c r="AR89" i="1" s="1"/>
  <c r="AJ89" i="1"/>
  <c r="AG89" i="1"/>
  <c r="AF89" i="1"/>
  <c r="O89" i="1"/>
  <c r="Q89" i="1" s="1"/>
  <c r="AT88" i="1"/>
  <c r="AR88" i="1"/>
  <c r="AO88" i="1"/>
  <c r="AM88" i="1"/>
  <c r="AJ88" i="1"/>
  <c r="AG88" i="1"/>
  <c r="AF88" i="1"/>
  <c r="Q88" i="1"/>
  <c r="O88" i="1"/>
  <c r="AV87" i="1"/>
  <c r="AR87" i="1"/>
  <c r="AO87" i="1"/>
  <c r="AM87" i="1"/>
  <c r="AP87" i="1" s="1"/>
  <c r="AJ87" i="1"/>
  <c r="AG87" i="1"/>
  <c r="AF87" i="1"/>
  <c r="Q87" i="1"/>
  <c r="Q24" i="1" s="1"/>
  <c r="N87" i="1"/>
  <c r="P87" i="1" s="1"/>
  <c r="AG86" i="1"/>
  <c r="AF86" i="1"/>
  <c r="I86" i="1"/>
  <c r="E86" i="1" s="1"/>
  <c r="AL85" i="1"/>
  <c r="AT85" i="1" s="1"/>
  <c r="AT86" i="1" s="1"/>
  <c r="AI85" i="1"/>
  <c r="AJ85" i="1" s="1"/>
  <c r="AJ86" i="1" s="1"/>
  <c r="AG85" i="1"/>
  <c r="AF85" i="1"/>
  <c r="Q85" i="1"/>
  <c r="O85" i="1"/>
  <c r="O86" i="1" s="1"/>
  <c r="Q86" i="1" s="1"/>
  <c r="I85" i="1"/>
  <c r="AV84" i="1"/>
  <c r="AW84" i="1" s="1"/>
  <c r="AR84" i="1"/>
  <c r="AO84" i="1"/>
  <c r="AM84" i="1"/>
  <c r="AP84" i="1" s="1"/>
  <c r="AJ84" i="1"/>
  <c r="AG84" i="1"/>
  <c r="AF84" i="1"/>
  <c r="Q84" i="1"/>
  <c r="N84" i="1"/>
  <c r="P84" i="1" s="1"/>
  <c r="J84" i="1"/>
  <c r="F84" i="1"/>
  <c r="E84" i="1"/>
  <c r="AR83" i="1"/>
  <c r="AO83" i="1"/>
  <c r="AM83" i="1"/>
  <c r="AP83" i="1" s="1"/>
  <c r="AJ83" i="1"/>
  <c r="AG83" i="1"/>
  <c r="AF83" i="1"/>
  <c r="AV82" i="1"/>
  <c r="AR82" i="1"/>
  <c r="AO82" i="1"/>
  <c r="AM82" i="1"/>
  <c r="AP82" i="1" s="1"/>
  <c r="AJ82" i="1"/>
  <c r="AG82" i="1"/>
  <c r="AF82" i="1"/>
  <c r="Q82" i="1"/>
  <c r="O82" i="1"/>
  <c r="O83" i="1" s="1"/>
  <c r="Q83" i="1" s="1"/>
  <c r="N82" i="1"/>
  <c r="P82" i="1" s="1"/>
  <c r="AW81" i="1"/>
  <c r="AR81" i="1"/>
  <c r="AO81" i="1"/>
  <c r="AM81" i="1"/>
  <c r="AP81" i="1" s="1"/>
  <c r="AJ81" i="1"/>
  <c r="AG81" i="1"/>
  <c r="AF81" i="1"/>
  <c r="Q81" i="1"/>
  <c r="N81" i="1"/>
  <c r="P81" i="1" s="1"/>
  <c r="AV80" i="1"/>
  <c r="AW80" i="1" s="1"/>
  <c r="AR80" i="1"/>
  <c r="AO80" i="1"/>
  <c r="AM80" i="1"/>
  <c r="AP80" i="1" s="1"/>
  <c r="AJ80" i="1"/>
  <c r="AG80" i="1"/>
  <c r="AF80" i="1"/>
  <c r="AW79" i="1"/>
  <c r="AV79" i="1"/>
  <c r="AR79" i="1"/>
  <c r="AP79" i="1"/>
  <c r="AO79" i="1"/>
  <c r="AM79" i="1"/>
  <c r="AJ79" i="1"/>
  <c r="AG79" i="1"/>
  <c r="AF79" i="1"/>
  <c r="O79" i="1"/>
  <c r="Q79" i="1" s="1"/>
  <c r="N79" i="1"/>
  <c r="AW78" i="1"/>
  <c r="AR78" i="1"/>
  <c r="AP78" i="1"/>
  <c r="AO78" i="1"/>
  <c r="AM78" i="1"/>
  <c r="AJ78" i="1"/>
  <c r="AG78" i="1"/>
  <c r="AF78" i="1"/>
  <c r="Q78" i="1"/>
  <c r="N78" i="1"/>
  <c r="P78" i="1" s="1"/>
  <c r="AR77" i="1"/>
  <c r="AP77" i="1"/>
  <c r="AO77" i="1"/>
  <c r="AM77" i="1"/>
  <c r="AJ77" i="1"/>
  <c r="AG77" i="1"/>
  <c r="AF77" i="1"/>
  <c r="N77" i="1"/>
  <c r="P77" i="1" s="1"/>
  <c r="AW76" i="1"/>
  <c r="AV76" i="1"/>
  <c r="AV77" i="1" s="1"/>
  <c r="AW77" i="1" s="1"/>
  <c r="AR76" i="1"/>
  <c r="AP76" i="1"/>
  <c r="AO76" i="1"/>
  <c r="AM76" i="1"/>
  <c r="AJ76" i="1"/>
  <c r="AG76" i="1"/>
  <c r="AF76" i="1"/>
  <c r="O76" i="1"/>
  <c r="Q76" i="1" s="1"/>
  <c r="AW75" i="1"/>
  <c r="AR75" i="1"/>
  <c r="AO75" i="1"/>
  <c r="AM75" i="1"/>
  <c r="AJ75" i="1"/>
  <c r="AP75" i="1" s="1"/>
  <c r="AG75" i="1"/>
  <c r="AF75" i="1"/>
  <c r="Q75" i="1"/>
  <c r="P75" i="1"/>
  <c r="N75" i="1"/>
  <c r="N76" i="1" s="1"/>
  <c r="P76" i="1" s="1"/>
  <c r="AR74" i="1"/>
  <c r="AP74" i="1"/>
  <c r="AO74" i="1"/>
  <c r="AM74" i="1"/>
  <c r="AJ74" i="1"/>
  <c r="AG74" i="1"/>
  <c r="AF74" i="1"/>
  <c r="P74" i="1"/>
  <c r="O74" i="1"/>
  <c r="Q74" i="1" s="1"/>
  <c r="AV73" i="1"/>
  <c r="AR73" i="1"/>
  <c r="AO73" i="1"/>
  <c r="AM73" i="1"/>
  <c r="AJ73" i="1"/>
  <c r="AG73" i="1"/>
  <c r="AF73" i="1"/>
  <c r="Q73" i="1"/>
  <c r="P73" i="1"/>
  <c r="O73" i="1"/>
  <c r="AW72" i="1"/>
  <c r="AR72" i="1"/>
  <c r="AO72" i="1"/>
  <c r="AM72" i="1"/>
  <c r="AP72" i="1" s="1"/>
  <c r="AJ72" i="1"/>
  <c r="AG72" i="1"/>
  <c r="AF72" i="1"/>
  <c r="Q72" i="1"/>
  <c r="P72" i="1"/>
  <c r="N72" i="1"/>
  <c r="N73" i="1" s="1"/>
  <c r="N74" i="1" s="1"/>
  <c r="AV71" i="1"/>
  <c r="AW71" i="1" s="1"/>
  <c r="AR71" i="1"/>
  <c r="AO71" i="1"/>
  <c r="AM71" i="1"/>
  <c r="AJ71" i="1"/>
  <c r="AG71" i="1"/>
  <c r="AF71" i="1"/>
  <c r="O71" i="1"/>
  <c r="Q71" i="1" s="1"/>
  <c r="AW70" i="1"/>
  <c r="AV70" i="1"/>
  <c r="AR70" i="1"/>
  <c r="AO70" i="1"/>
  <c r="AM70" i="1"/>
  <c r="AP70" i="1" s="1"/>
  <c r="AJ70" i="1"/>
  <c r="AG70" i="1"/>
  <c r="AF70" i="1"/>
  <c r="Q70" i="1"/>
  <c r="O70" i="1"/>
  <c r="N70" i="1"/>
  <c r="N71" i="1" s="1"/>
  <c r="P71" i="1" s="1"/>
  <c r="AW69" i="1"/>
  <c r="AR69" i="1"/>
  <c r="AO69" i="1"/>
  <c r="AM69" i="1"/>
  <c r="AP69" i="1" s="1"/>
  <c r="AJ69" i="1"/>
  <c r="AG69" i="1"/>
  <c r="AF69" i="1"/>
  <c r="Q69" i="1"/>
  <c r="P69" i="1"/>
  <c r="N69" i="1"/>
  <c r="AV68" i="1"/>
  <c r="AW68" i="1" s="1"/>
  <c r="AR68" i="1"/>
  <c r="AO68" i="1"/>
  <c r="AM68" i="1"/>
  <c r="AJ68" i="1"/>
  <c r="AG68" i="1"/>
  <c r="AF68" i="1"/>
  <c r="AV67" i="1"/>
  <c r="AW67" i="1" s="1"/>
  <c r="AR67" i="1"/>
  <c r="AO67" i="1"/>
  <c r="AM67" i="1"/>
  <c r="AP67" i="1" s="1"/>
  <c r="AJ67" i="1"/>
  <c r="AG67" i="1"/>
  <c r="AF67" i="1"/>
  <c r="O67" i="1"/>
  <c r="O68" i="1" s="1"/>
  <c r="Q68" i="1" s="1"/>
  <c r="AW66" i="1"/>
  <c r="AR66" i="1"/>
  <c r="AP66" i="1"/>
  <c r="AO66" i="1"/>
  <c r="AM66" i="1"/>
  <c r="AJ66" i="1"/>
  <c r="AG66" i="1"/>
  <c r="AF66" i="1"/>
  <c r="Q66" i="1"/>
  <c r="N66" i="1"/>
  <c r="P66" i="1" s="1"/>
  <c r="AW65" i="1"/>
  <c r="AV65" i="1"/>
  <c r="AR65" i="1"/>
  <c r="AP65" i="1"/>
  <c r="AO65" i="1"/>
  <c r="AM65" i="1"/>
  <c r="AJ65" i="1"/>
  <c r="AG65" i="1"/>
  <c r="AF65" i="1"/>
  <c r="AW64" i="1"/>
  <c r="AV64" i="1"/>
  <c r="AR64" i="1"/>
  <c r="AP64" i="1"/>
  <c r="AO64" i="1"/>
  <c r="AM64" i="1"/>
  <c r="AJ64" i="1"/>
  <c r="AG64" i="1"/>
  <c r="AF64" i="1"/>
  <c r="O64" i="1"/>
  <c r="Q64" i="1" s="1"/>
  <c r="N64" i="1"/>
  <c r="P64" i="1" s="1"/>
  <c r="AW63" i="1"/>
  <c r="AR63" i="1"/>
  <c r="AO63" i="1"/>
  <c r="AM63" i="1"/>
  <c r="AJ63" i="1"/>
  <c r="AP63" i="1" s="1"/>
  <c r="AG63" i="1"/>
  <c r="AF63" i="1"/>
  <c r="Q63" i="1"/>
  <c r="P63" i="1"/>
  <c r="N63" i="1"/>
  <c r="AR62" i="1"/>
  <c r="AO62" i="1"/>
  <c r="AM62" i="1"/>
  <c r="AJ62" i="1"/>
  <c r="AP62" i="1" s="1"/>
  <c r="AG62" i="1"/>
  <c r="AF62" i="1"/>
  <c r="AV61" i="1"/>
  <c r="AR61" i="1"/>
  <c r="AP61" i="1"/>
  <c r="AO61" i="1"/>
  <c r="AM61" i="1"/>
  <c r="AJ61" i="1"/>
  <c r="AG61" i="1"/>
  <c r="AF61" i="1"/>
  <c r="O61" i="1"/>
  <c r="O62" i="1" s="1"/>
  <c r="Q62" i="1" s="1"/>
  <c r="AW60" i="1"/>
  <c r="AR60" i="1"/>
  <c r="AP60" i="1"/>
  <c r="AO60" i="1"/>
  <c r="AM60" i="1"/>
  <c r="AJ60" i="1"/>
  <c r="AG60" i="1"/>
  <c r="AF60" i="1"/>
  <c r="Q60" i="1"/>
  <c r="N60" i="1"/>
  <c r="N61" i="1" s="1"/>
  <c r="N62" i="1" s="1"/>
  <c r="P62" i="1" s="1"/>
  <c r="AO59" i="1"/>
  <c r="AM59" i="1"/>
  <c r="AP59" i="1" s="1"/>
  <c r="AL59" i="1"/>
  <c r="AI59" i="1"/>
  <c r="AJ59" i="1" s="1"/>
  <c r="AG59" i="1"/>
  <c r="AF59" i="1"/>
  <c r="AV58" i="1"/>
  <c r="AW58" i="1" s="1"/>
  <c r="AT58" i="1"/>
  <c r="AT59" i="1" s="1"/>
  <c r="AR58" i="1"/>
  <c r="AO58" i="1"/>
  <c r="AM58" i="1"/>
  <c r="AP58" i="1" s="1"/>
  <c r="AJ58" i="1"/>
  <c r="AI58" i="1"/>
  <c r="AG58" i="1"/>
  <c r="AF58" i="1"/>
  <c r="Q58" i="1"/>
  <c r="O58" i="1"/>
  <c r="O59" i="1" s="1"/>
  <c r="Q59" i="1" s="1"/>
  <c r="N58" i="1"/>
  <c r="P58" i="1" s="1"/>
  <c r="AZ57" i="1"/>
  <c r="AW57" i="1"/>
  <c r="AR57" i="1"/>
  <c r="AP57" i="1"/>
  <c r="AO57" i="1"/>
  <c r="AL57" i="1"/>
  <c r="AM57" i="1" s="1"/>
  <c r="AJ57" i="1"/>
  <c r="AG57" i="1"/>
  <c r="AF57" i="1"/>
  <c r="S57" i="1"/>
  <c r="Q57" i="1"/>
  <c r="P57" i="1"/>
  <c r="O57" i="1"/>
  <c r="N57" i="1"/>
  <c r="AV56" i="1"/>
  <c r="AW56" i="1" s="1"/>
  <c r="AR56" i="1"/>
  <c r="AO56" i="1"/>
  <c r="AM56" i="1"/>
  <c r="AP56" i="1" s="1"/>
  <c r="AJ56" i="1"/>
  <c r="AG56" i="1"/>
  <c r="AF56" i="1"/>
  <c r="AW55" i="1"/>
  <c r="AV55" i="1"/>
  <c r="AR55" i="1"/>
  <c r="AO55" i="1"/>
  <c r="AM55" i="1"/>
  <c r="AJ55" i="1"/>
  <c r="AP55" i="1" s="1"/>
  <c r="AG55" i="1"/>
  <c r="AF55" i="1"/>
  <c r="O55" i="1"/>
  <c r="Q55" i="1" s="1"/>
  <c r="AW54" i="1"/>
  <c r="AR54" i="1"/>
  <c r="AP54" i="1"/>
  <c r="AO54" i="1"/>
  <c r="AM54" i="1"/>
  <c r="AJ54" i="1"/>
  <c r="AG54" i="1"/>
  <c r="AF54" i="1"/>
  <c r="Q54" i="1"/>
  <c r="N54" i="1"/>
  <c r="N55" i="1" s="1"/>
  <c r="AR53" i="1"/>
  <c r="AP53" i="1"/>
  <c r="AO53" i="1"/>
  <c r="AM53" i="1"/>
  <c r="AJ53" i="1"/>
  <c r="AG53" i="1"/>
  <c r="AF53" i="1"/>
  <c r="N53" i="1"/>
  <c r="P53" i="1" s="1"/>
  <c r="AV52" i="1"/>
  <c r="AR52" i="1"/>
  <c r="AO52" i="1"/>
  <c r="AM52" i="1"/>
  <c r="AP52" i="1" s="1"/>
  <c r="AJ52" i="1"/>
  <c r="AG52" i="1"/>
  <c r="AF52" i="1"/>
  <c r="Q52" i="1"/>
  <c r="O52" i="1"/>
  <c r="O53" i="1" s="1"/>
  <c r="Q53" i="1" s="1"/>
  <c r="AW51" i="1"/>
  <c r="AR51" i="1"/>
  <c r="AO51" i="1"/>
  <c r="AM51" i="1"/>
  <c r="AP51" i="1" s="1"/>
  <c r="AJ51" i="1"/>
  <c r="AG51" i="1"/>
  <c r="AF51" i="1"/>
  <c r="Q51" i="1"/>
  <c r="P51" i="1"/>
  <c r="N51" i="1"/>
  <c r="N52" i="1" s="1"/>
  <c r="P52" i="1" s="1"/>
  <c r="AR50" i="1"/>
  <c r="AP50" i="1"/>
  <c r="AO50" i="1"/>
  <c r="AM50" i="1"/>
  <c r="AJ50" i="1"/>
  <c r="AG50" i="1"/>
  <c r="AF50" i="1"/>
  <c r="O50" i="1"/>
  <c r="Q50" i="1" s="1"/>
  <c r="AW49" i="1"/>
  <c r="AV49" i="1"/>
  <c r="AV50" i="1" s="1"/>
  <c r="AW50" i="1" s="1"/>
  <c r="AR49" i="1"/>
  <c r="AO49" i="1"/>
  <c r="AM49" i="1"/>
  <c r="AP49" i="1" s="1"/>
  <c r="AJ49" i="1"/>
  <c r="AG49" i="1"/>
  <c r="AF49" i="1"/>
  <c r="Q49" i="1"/>
  <c r="O49" i="1"/>
  <c r="N49" i="1"/>
  <c r="N50" i="1" s="1"/>
  <c r="P50" i="1" s="1"/>
  <c r="AW48" i="1"/>
  <c r="AR48" i="1"/>
  <c r="AO48" i="1"/>
  <c r="AM48" i="1"/>
  <c r="AP48" i="1" s="1"/>
  <c r="AJ48" i="1"/>
  <c r="AG48" i="1"/>
  <c r="AF48" i="1"/>
  <c r="Q48" i="1"/>
  <c r="P48" i="1"/>
  <c r="N48" i="1"/>
  <c r="AV47" i="1"/>
  <c r="AW47" i="1" s="1"/>
  <c r="AR47" i="1"/>
  <c r="AO47" i="1"/>
  <c r="AM47" i="1"/>
  <c r="AJ47" i="1"/>
  <c r="AI47" i="1"/>
  <c r="AG47" i="1"/>
  <c r="AF47" i="1"/>
  <c r="J47" i="1"/>
  <c r="I47" i="1"/>
  <c r="F47" i="1"/>
  <c r="E47" i="1"/>
  <c r="AW46" i="1"/>
  <c r="AV46" i="1"/>
  <c r="AR46" i="1"/>
  <c r="AO46" i="1"/>
  <c r="AM46" i="1"/>
  <c r="AJ46" i="1"/>
  <c r="AP46" i="1" s="1"/>
  <c r="AG46" i="1"/>
  <c r="AF46" i="1"/>
  <c r="O46" i="1"/>
  <c r="Q46" i="1" s="1"/>
  <c r="J46" i="1"/>
  <c r="F46" i="1"/>
  <c r="E46" i="1"/>
  <c r="BL45" i="1"/>
  <c r="AV45" i="1"/>
  <c r="AW45" i="1" s="1"/>
  <c r="AR45" i="1"/>
  <c r="AO45" i="1"/>
  <c r="AM45" i="1"/>
  <c r="AP45" i="1" s="1"/>
  <c r="AJ45" i="1"/>
  <c r="AG45" i="1"/>
  <c r="AF45" i="1"/>
  <c r="Q45" i="1"/>
  <c r="P45" i="1"/>
  <c r="N45" i="1"/>
  <c r="N46" i="1" s="1"/>
  <c r="J45" i="1"/>
  <c r="E45" i="1"/>
  <c r="F45" i="1" s="1"/>
  <c r="AO44" i="1"/>
  <c r="AM44" i="1"/>
  <c r="AI44" i="1"/>
  <c r="AR44" i="1" s="1"/>
  <c r="AG44" i="1"/>
  <c r="AG26" i="1" s="1"/>
  <c r="AF44" i="1"/>
  <c r="O44" i="1"/>
  <c r="Q44" i="1" s="1"/>
  <c r="AU43" i="1"/>
  <c r="AT43" i="1"/>
  <c r="AR43" i="1"/>
  <c r="AL43" i="1"/>
  <c r="AM43" i="1" s="1"/>
  <c r="AP43" i="1" s="1"/>
  <c r="AJ43" i="1"/>
  <c r="AI43" i="1"/>
  <c r="AG43" i="1"/>
  <c r="AF43" i="1"/>
  <c r="AF25" i="1" s="1"/>
  <c r="Q43" i="1"/>
  <c r="I43" i="1"/>
  <c r="AV43" i="1" s="1"/>
  <c r="AW42" i="1"/>
  <c r="AV42" i="1"/>
  <c r="AR42" i="1"/>
  <c r="AL42" i="1"/>
  <c r="AM42" i="1" s="1"/>
  <c r="AJ42" i="1"/>
  <c r="AG42" i="1"/>
  <c r="AF42" i="1"/>
  <c r="S42" i="1"/>
  <c r="Q42" i="1"/>
  <c r="O42" i="1"/>
  <c r="O43" i="1" s="1"/>
  <c r="N42" i="1"/>
  <c r="N43" i="1" s="1"/>
  <c r="J42" i="1"/>
  <c r="F42" i="1"/>
  <c r="E42" i="1"/>
  <c r="AR41" i="1"/>
  <c r="AO41" i="1"/>
  <c r="AM41" i="1"/>
  <c r="AP41" i="1" s="1"/>
  <c r="AJ41" i="1"/>
  <c r="AG41" i="1"/>
  <c r="AF41" i="1"/>
  <c r="Q41" i="1"/>
  <c r="AV40" i="1"/>
  <c r="AV41" i="1" s="1"/>
  <c r="AW41" i="1" s="1"/>
  <c r="AR40" i="1"/>
  <c r="AO40" i="1"/>
  <c r="AM40" i="1"/>
  <c r="AP40" i="1" s="1"/>
  <c r="AJ40" i="1"/>
  <c r="AG40" i="1"/>
  <c r="AF40" i="1"/>
  <c r="Q40" i="1"/>
  <c r="O40" i="1"/>
  <c r="O41" i="1" s="1"/>
  <c r="AW39" i="1"/>
  <c r="AR39" i="1"/>
  <c r="AO39" i="1"/>
  <c r="AM39" i="1"/>
  <c r="AP39" i="1" s="1"/>
  <c r="AJ39" i="1"/>
  <c r="AG39" i="1"/>
  <c r="AF39" i="1"/>
  <c r="Q39" i="1"/>
  <c r="N39" i="1"/>
  <c r="P39" i="1" s="1"/>
  <c r="AW38" i="1"/>
  <c r="AV38" i="1"/>
  <c r="AR38" i="1"/>
  <c r="AP38" i="1"/>
  <c r="AO38" i="1"/>
  <c r="AM38" i="1"/>
  <c r="AJ38" i="1"/>
  <c r="AG38" i="1"/>
  <c r="AF38" i="1"/>
  <c r="AW37" i="1"/>
  <c r="AV37" i="1"/>
  <c r="AR37" i="1"/>
  <c r="AP37" i="1"/>
  <c r="AO37" i="1"/>
  <c r="AM37" i="1"/>
  <c r="AJ37" i="1"/>
  <c r="AG37" i="1"/>
  <c r="AF37" i="1"/>
  <c r="O37" i="1"/>
  <c r="Q37" i="1" s="1"/>
  <c r="N37" i="1"/>
  <c r="P37" i="1" s="1"/>
  <c r="AW36" i="1"/>
  <c r="AR36" i="1"/>
  <c r="AP36" i="1"/>
  <c r="AO36" i="1"/>
  <c r="AM36" i="1"/>
  <c r="AJ36" i="1"/>
  <c r="AG36" i="1"/>
  <c r="AF36" i="1"/>
  <c r="Q36" i="1"/>
  <c r="N36" i="1"/>
  <c r="P36" i="1" s="1"/>
  <c r="AR35" i="1"/>
  <c r="AO35" i="1"/>
  <c r="AM35" i="1"/>
  <c r="AJ35" i="1"/>
  <c r="AP35" i="1" s="1"/>
  <c r="AG35" i="1"/>
  <c r="AF35" i="1"/>
  <c r="AV34" i="1"/>
  <c r="AR34" i="1"/>
  <c r="AO34" i="1"/>
  <c r="AM34" i="1"/>
  <c r="AP34" i="1" s="1"/>
  <c r="AJ34" i="1"/>
  <c r="AG34" i="1"/>
  <c r="AF34" i="1"/>
  <c r="Q34" i="1"/>
  <c r="O34" i="1"/>
  <c r="O35" i="1" s="1"/>
  <c r="Q35" i="1" s="1"/>
  <c r="AW33" i="1"/>
  <c r="AR33" i="1"/>
  <c r="AP33" i="1"/>
  <c r="AO33" i="1"/>
  <c r="AM33" i="1"/>
  <c r="AJ33" i="1"/>
  <c r="AG33" i="1"/>
  <c r="AF33" i="1"/>
  <c r="Q33" i="1"/>
  <c r="N33" i="1"/>
  <c r="N34" i="1" s="1"/>
  <c r="N35" i="1" s="1"/>
  <c r="P35" i="1" s="1"/>
  <c r="AR32" i="1"/>
  <c r="AP32" i="1"/>
  <c r="AO32" i="1"/>
  <c r="AM32" i="1"/>
  <c r="AJ32" i="1"/>
  <c r="AG32" i="1"/>
  <c r="AF32" i="1"/>
  <c r="O32" i="1"/>
  <c r="Q32" i="1" s="1"/>
  <c r="AW31" i="1"/>
  <c r="AV31" i="1"/>
  <c r="AV32" i="1" s="1"/>
  <c r="AW32" i="1" s="1"/>
  <c r="AR31" i="1"/>
  <c r="AO31" i="1"/>
  <c r="AM31" i="1"/>
  <c r="AP31" i="1" s="1"/>
  <c r="AJ31" i="1"/>
  <c r="AG31" i="1"/>
  <c r="AF31" i="1"/>
  <c r="Q31" i="1"/>
  <c r="O31" i="1"/>
  <c r="N31" i="1"/>
  <c r="N32" i="1" s="1"/>
  <c r="P32" i="1" s="1"/>
  <c r="AW30" i="1"/>
  <c r="AR30" i="1"/>
  <c r="AO30" i="1"/>
  <c r="AM30" i="1"/>
  <c r="AJ30" i="1"/>
  <c r="AG30" i="1"/>
  <c r="AF30" i="1"/>
  <c r="Q30" i="1"/>
  <c r="P30" i="1"/>
  <c r="N30" i="1"/>
  <c r="AV29" i="1"/>
  <c r="AW29" i="1" s="1"/>
  <c r="AR29" i="1"/>
  <c r="AO29" i="1"/>
  <c r="AM29" i="1"/>
  <c r="AJ29" i="1"/>
  <c r="AI29" i="1"/>
  <c r="AG29" i="1"/>
  <c r="AF29" i="1"/>
  <c r="J29" i="1"/>
  <c r="I29" i="1"/>
  <c r="F29" i="1"/>
  <c r="E29" i="1"/>
  <c r="AW28" i="1"/>
  <c r="AV28" i="1"/>
  <c r="AR28" i="1"/>
  <c r="AO28" i="1"/>
  <c r="AM28" i="1"/>
  <c r="AJ28" i="1"/>
  <c r="AP28" i="1" s="1"/>
  <c r="AG28" i="1"/>
  <c r="AF28" i="1"/>
  <c r="O28" i="1"/>
  <c r="Q28" i="1" s="1"/>
  <c r="J28" i="1"/>
  <c r="E28" i="1"/>
  <c r="BL27" i="1"/>
  <c r="AV27" i="1"/>
  <c r="AW27" i="1" s="1"/>
  <c r="AR27" i="1"/>
  <c r="AP27" i="1"/>
  <c r="AO27" i="1"/>
  <c r="AM27" i="1"/>
  <c r="AJ27" i="1"/>
  <c r="AJ24" i="1" s="1"/>
  <c r="AG27" i="1"/>
  <c r="AG24" i="1" s="1"/>
  <c r="AF27" i="1"/>
  <c r="Q27" i="1"/>
  <c r="N27" i="1"/>
  <c r="N28" i="1" s="1"/>
  <c r="J27" i="1"/>
  <c r="E27" i="1"/>
  <c r="F27" i="1" s="1"/>
  <c r="F24" i="1" s="1"/>
  <c r="BQ26" i="1"/>
  <c r="BQ25" i="1" s="1"/>
  <c r="BP26" i="1"/>
  <c r="BO26" i="1"/>
  <c r="BN26" i="1"/>
  <c r="BL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U26" i="1"/>
  <c r="AS26" i="1"/>
  <c r="AF26" i="1"/>
  <c r="AD26" i="1"/>
  <c r="AC26" i="1"/>
  <c r="AA26" i="1"/>
  <c r="Z26" i="1"/>
  <c r="X26" i="1"/>
  <c r="W26" i="1"/>
  <c r="U26" i="1"/>
  <c r="T26" i="1"/>
  <c r="BP25" i="1"/>
  <c r="BO25" i="1"/>
  <c r="BN25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U25" i="1"/>
  <c r="AT25" i="1"/>
  <c r="AS25" i="1"/>
  <c r="AG25" i="1"/>
  <c r="AD25" i="1"/>
  <c r="AC25" i="1"/>
  <c r="AA25" i="1"/>
  <c r="Z25" i="1"/>
  <c r="X25" i="1"/>
  <c r="W25" i="1"/>
  <c r="U25" i="1"/>
  <c r="T25" i="1"/>
  <c r="O25" i="1"/>
  <c r="BQ24" i="1"/>
  <c r="BQ13" i="1" s="1"/>
  <c r="BQ9" i="1" s="1"/>
  <c r="BP24" i="1"/>
  <c r="BO24" i="1"/>
  <c r="BN24" i="1"/>
  <c r="BK24" i="1"/>
  <c r="BJ24" i="1"/>
  <c r="BI24" i="1"/>
  <c r="BH24" i="1"/>
  <c r="BG24" i="1"/>
  <c r="BF24" i="1"/>
  <c r="BE24" i="1"/>
  <c r="BD24" i="1"/>
  <c r="BD13" i="1" s="1"/>
  <c r="BD9" i="1" s="1"/>
  <c r="BC24" i="1"/>
  <c r="BB24" i="1"/>
  <c r="BA24" i="1"/>
  <c r="AY24" i="1"/>
  <c r="AX24" i="1"/>
  <c r="AU24" i="1"/>
  <c r="AT24" i="1"/>
  <c r="AS24" i="1"/>
  <c r="AR24" i="1"/>
  <c r="AI24" i="1"/>
  <c r="AF24" i="1"/>
  <c r="AD24" i="1"/>
  <c r="AC24" i="1"/>
  <c r="AA24" i="1"/>
  <c r="Z24" i="1"/>
  <c r="X24" i="1"/>
  <c r="W24" i="1"/>
  <c r="U24" i="1"/>
  <c r="T24" i="1"/>
  <c r="O24" i="1"/>
  <c r="N24" i="1"/>
  <c r="J24" i="1"/>
  <c r="I24" i="1"/>
  <c r="E24" i="1"/>
  <c r="AW23" i="1"/>
  <c r="AV23" i="1"/>
  <c r="AS23" i="1"/>
  <c r="AR23" i="1"/>
  <c r="AO23" i="1"/>
  <c r="AM23" i="1"/>
  <c r="AP23" i="1" s="1"/>
  <c r="AJ23" i="1"/>
  <c r="AJ18" i="1" s="1"/>
  <c r="J23" i="1"/>
  <c r="F23" i="1"/>
  <c r="AV22" i="1"/>
  <c r="AV19" i="1" s="1"/>
  <c r="AR22" i="1"/>
  <c r="AO22" i="1"/>
  <c r="AM22" i="1"/>
  <c r="AP22" i="1" s="1"/>
  <c r="AJ22" i="1"/>
  <c r="AJ19" i="1" s="1"/>
  <c r="O22" i="1"/>
  <c r="O19" i="1" s="1"/>
  <c r="J22" i="1"/>
  <c r="E22" i="1"/>
  <c r="F22" i="1" s="1"/>
  <c r="F19" i="1" s="1"/>
  <c r="AW21" i="1"/>
  <c r="AR21" i="1"/>
  <c r="AP21" i="1"/>
  <c r="AO21" i="1"/>
  <c r="AO18" i="1" s="1"/>
  <c r="AM21" i="1"/>
  <c r="AJ21" i="1"/>
  <c r="Q21" i="1"/>
  <c r="O21" i="1"/>
  <c r="O18" i="1" s="1"/>
  <c r="J21" i="1"/>
  <c r="F21" i="1"/>
  <c r="F18" i="1" s="1"/>
  <c r="E21" i="1"/>
  <c r="AW20" i="1"/>
  <c r="AR20" i="1"/>
  <c r="AP20" i="1"/>
  <c r="AP17" i="1" s="1"/>
  <c r="AO20" i="1"/>
  <c r="AM20" i="1"/>
  <c r="AJ20" i="1"/>
  <c r="AJ17" i="1" s="1"/>
  <c r="Q20" i="1"/>
  <c r="Q17" i="1" s="1"/>
  <c r="P20" i="1"/>
  <c r="P17" i="1" s="1"/>
  <c r="N20" i="1"/>
  <c r="N21" i="1" s="1"/>
  <c r="J20" i="1"/>
  <c r="J17" i="1" s="1"/>
  <c r="F20" i="1"/>
  <c r="F17" i="1" s="1"/>
  <c r="E20" i="1"/>
  <c r="BQ19" i="1"/>
  <c r="BP19" i="1"/>
  <c r="BO19" i="1"/>
  <c r="BO15" i="1" s="1"/>
  <c r="BN19" i="1"/>
  <c r="BL19" i="1"/>
  <c r="BK19" i="1"/>
  <c r="BK15" i="1" s="1"/>
  <c r="BJ19" i="1"/>
  <c r="BJ15" i="1" s="1"/>
  <c r="BI19" i="1"/>
  <c r="BH19" i="1"/>
  <c r="BG19" i="1"/>
  <c r="BG15" i="1" s="1"/>
  <c r="BF19" i="1"/>
  <c r="BF15" i="1" s="1"/>
  <c r="BE19" i="1"/>
  <c r="BD19" i="1"/>
  <c r="BC19" i="1"/>
  <c r="BC15" i="1" s="1"/>
  <c r="BB19" i="1"/>
  <c r="BB15" i="1" s="1"/>
  <c r="BA19" i="1"/>
  <c r="AZ19" i="1"/>
  <c r="AY19" i="1"/>
  <c r="AY15" i="1" s="1"/>
  <c r="AU19" i="1"/>
  <c r="AT19" i="1"/>
  <c r="AS19" i="1"/>
  <c r="AO19" i="1"/>
  <c r="AM19" i="1"/>
  <c r="AL19" i="1"/>
  <c r="AI19" i="1"/>
  <c r="AR19" i="1" s="1"/>
  <c r="AH19" i="1"/>
  <c r="AG19" i="1"/>
  <c r="AF19" i="1"/>
  <c r="AE19" i="1"/>
  <c r="AD19" i="1"/>
  <c r="AC19" i="1"/>
  <c r="AB19" i="1"/>
  <c r="AA19" i="1"/>
  <c r="Z19" i="1"/>
  <c r="Y19" i="1"/>
  <c r="X19" i="1"/>
  <c r="W19" i="1"/>
  <c r="W15" i="1" s="1"/>
  <c r="V19" i="1"/>
  <c r="U19" i="1"/>
  <c r="T19" i="1"/>
  <c r="S19" i="1"/>
  <c r="R19" i="1"/>
  <c r="J19" i="1"/>
  <c r="I19" i="1"/>
  <c r="E19" i="1"/>
  <c r="BQ18" i="1"/>
  <c r="BP18" i="1"/>
  <c r="BO18" i="1"/>
  <c r="BN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W18" i="1"/>
  <c r="AV18" i="1"/>
  <c r="AU18" i="1"/>
  <c r="AT18" i="1"/>
  <c r="AS18" i="1"/>
  <c r="AR18" i="1"/>
  <c r="AM18" i="1"/>
  <c r="AL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J18" i="1"/>
  <c r="I18" i="1"/>
  <c r="E18" i="1"/>
  <c r="BQ17" i="1"/>
  <c r="BP17" i="1"/>
  <c r="BO17" i="1"/>
  <c r="BN17" i="1"/>
  <c r="BN13" i="1" s="1"/>
  <c r="BN9" i="1" s="1"/>
  <c r="BL17" i="1"/>
  <c r="BK17" i="1"/>
  <c r="BJ17" i="1"/>
  <c r="BI17" i="1"/>
  <c r="BI13" i="1" s="1"/>
  <c r="BI9" i="1" s="1"/>
  <c r="BH17" i="1"/>
  <c r="BG17" i="1"/>
  <c r="BF17" i="1"/>
  <c r="BE17" i="1"/>
  <c r="BE13" i="1" s="1"/>
  <c r="BE9" i="1" s="1"/>
  <c r="BD17" i="1"/>
  <c r="BC17" i="1"/>
  <c r="BB17" i="1"/>
  <c r="BA17" i="1"/>
  <c r="BA13" i="1" s="1"/>
  <c r="BA9" i="1" s="1"/>
  <c r="AZ17" i="1"/>
  <c r="AY17" i="1"/>
  <c r="BW17" i="1" s="1"/>
  <c r="BX17" i="1" s="1"/>
  <c r="AW17" i="1"/>
  <c r="AV17" i="1"/>
  <c r="AU17" i="1"/>
  <c r="AT17" i="1"/>
  <c r="AS17" i="1"/>
  <c r="AO17" i="1"/>
  <c r="AM17" i="1"/>
  <c r="AL17" i="1"/>
  <c r="AI17" i="1"/>
  <c r="AR17" i="1" s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O17" i="1"/>
  <c r="N17" i="1"/>
  <c r="I17" i="1"/>
  <c r="E17" i="1"/>
  <c r="BQ16" i="1"/>
  <c r="BP16" i="1"/>
  <c r="BN16" i="1"/>
  <c r="BN12" i="1" s="1"/>
  <c r="BL16" i="1"/>
  <c r="BK16" i="1"/>
  <c r="BI16" i="1"/>
  <c r="BI12" i="1" s="1"/>
  <c r="BH16" i="1"/>
  <c r="BG16" i="1"/>
  <c r="BE16" i="1"/>
  <c r="BE12" i="1" s="1"/>
  <c r="BD16" i="1"/>
  <c r="BC16" i="1"/>
  <c r="BA16" i="1"/>
  <c r="BA12" i="1" s="1"/>
  <c r="AZ16" i="1"/>
  <c r="AY16" i="1"/>
  <c r="AT16" i="1"/>
  <c r="AS16" i="1"/>
  <c r="AS12" i="1" s="1"/>
  <c r="AR16" i="1"/>
  <c r="AJ16" i="1"/>
  <c r="AI16" i="1"/>
  <c r="AF16" i="1"/>
  <c r="AF12" i="1" s="1"/>
  <c r="AD16" i="1"/>
  <c r="Z16" i="1"/>
  <c r="Z12" i="1" s="1"/>
  <c r="X16" i="1"/>
  <c r="U16" i="1"/>
  <c r="U12" i="1" s="1"/>
  <c r="T16" i="1"/>
  <c r="T12" i="1" s="1"/>
  <c r="J16" i="1"/>
  <c r="F16" i="1"/>
  <c r="F12" i="1" s="1"/>
  <c r="E16" i="1"/>
  <c r="E12" i="1" s="1"/>
  <c r="BN15" i="1"/>
  <c r="BN11" i="1" s="1"/>
  <c r="BN10" i="1" s="1"/>
  <c r="BI15" i="1"/>
  <c r="BI11" i="1" s="1"/>
  <c r="BI10" i="1" s="1"/>
  <c r="BE15" i="1"/>
  <c r="BA15" i="1"/>
  <c r="BN14" i="1"/>
  <c r="BI14" i="1"/>
  <c r="BE14" i="1"/>
  <c r="BA14" i="1"/>
  <c r="BP13" i="1"/>
  <c r="BP9" i="1" s="1"/>
  <c r="BG13" i="1"/>
  <c r="BG9" i="1" s="1"/>
  <c r="AU13" i="1"/>
  <c r="AU9" i="1" s="1"/>
  <c r="AT13" i="1"/>
  <c r="AT9" i="1" s="1"/>
  <c r="W13" i="1"/>
  <c r="W9" i="1" s="1"/>
  <c r="I13" i="1"/>
  <c r="I9" i="1" s="1"/>
  <c r="BQ12" i="1"/>
  <c r="BP12" i="1"/>
  <c r="BL12" i="1"/>
  <c r="BK12" i="1"/>
  <c r="BH12" i="1"/>
  <c r="BG12" i="1"/>
  <c r="BD12" i="1"/>
  <c r="BC12" i="1"/>
  <c r="AZ12" i="1"/>
  <c r="AY12" i="1"/>
  <c r="AT12" i="1"/>
  <c r="AJ12" i="1"/>
  <c r="AI12" i="1"/>
  <c r="AR12" i="1" s="1"/>
  <c r="AD12" i="1"/>
  <c r="X12" i="1"/>
  <c r="J12" i="1"/>
  <c r="BG14" i="1" l="1"/>
  <c r="BG11" i="1"/>
  <c r="BG10" i="1" s="1"/>
  <c r="AA14" i="1"/>
  <c r="N29" i="1"/>
  <c r="P28" i="1"/>
  <c r="BC14" i="1"/>
  <c r="BC11" i="1"/>
  <c r="BC10" i="1" s="1"/>
  <c r="U11" i="1"/>
  <c r="U10" i="1" s="1"/>
  <c r="U14" i="1"/>
  <c r="W14" i="1"/>
  <c r="W11" i="1"/>
  <c r="W10" i="1" s="1"/>
  <c r="BE11" i="1"/>
  <c r="BE10" i="1" s="1"/>
  <c r="BO13" i="1"/>
  <c r="BO9" i="1" s="1"/>
  <c r="AP18" i="1"/>
  <c r="AV44" i="1"/>
  <c r="AW43" i="1"/>
  <c r="O128" i="1"/>
  <c r="T14" i="1"/>
  <c r="Z14" i="1"/>
  <c r="AY11" i="1"/>
  <c r="AY10" i="1" s="1"/>
  <c r="AY14" i="1"/>
  <c r="BK11" i="1"/>
  <c r="BK10" i="1" s="1"/>
  <c r="BK14" i="1"/>
  <c r="N47" i="1"/>
  <c r="P47" i="1" s="1"/>
  <c r="P46" i="1"/>
  <c r="N22" i="1"/>
  <c r="N18" i="1"/>
  <c r="P21" i="1"/>
  <c r="P18" i="1" s="1"/>
  <c r="AP19" i="1"/>
  <c r="AT26" i="1"/>
  <c r="BJ13" i="1"/>
  <c r="BJ9" i="1" s="1"/>
  <c r="BB11" i="1"/>
  <c r="BB10" i="1" s="1"/>
  <c r="BB14" i="1"/>
  <c r="BF14" i="1"/>
  <c r="BJ11" i="1"/>
  <c r="BJ10" i="1" s="1"/>
  <c r="BJ14" i="1"/>
  <c r="BO14" i="1"/>
  <c r="N44" i="1"/>
  <c r="P44" i="1" s="1"/>
  <c r="P43" i="1"/>
  <c r="N56" i="1"/>
  <c r="P56" i="1" s="1"/>
  <c r="P55" i="1"/>
  <c r="O29" i="1"/>
  <c r="P34" i="1"/>
  <c r="N38" i="1"/>
  <c r="P38" i="1" s="1"/>
  <c r="AV53" i="1"/>
  <c r="AW53" i="1" s="1"/>
  <c r="AW52" i="1"/>
  <c r="O56" i="1"/>
  <c r="Q56" i="1" s="1"/>
  <c r="AI86" i="1"/>
  <c r="P143" i="1"/>
  <c r="N143" i="1" s="1"/>
  <c r="O143" i="1"/>
  <c r="AF149" i="1"/>
  <c r="AD149" i="1"/>
  <c r="AG149" i="1" s="1"/>
  <c r="AV184" i="1"/>
  <c r="AW184" i="1" s="1"/>
  <c r="AW178" i="1"/>
  <c r="AW176" i="1" s="1"/>
  <c r="AV176" i="1"/>
  <c r="N65" i="1"/>
  <c r="P65" i="1" s="1"/>
  <c r="AV74" i="1"/>
  <c r="AW74" i="1" s="1"/>
  <c r="AW73" i="1"/>
  <c r="P79" i="1"/>
  <c r="N80" i="1"/>
  <c r="P80" i="1" s="1"/>
  <c r="AP90" i="1"/>
  <c r="O92" i="1"/>
  <c r="Q92" i="1" s="1"/>
  <c r="Q91" i="1"/>
  <c r="Q25" i="1" s="1"/>
  <c r="AV96" i="1"/>
  <c r="AL96" i="1"/>
  <c r="J101" i="1"/>
  <c r="F101" i="1" s="1"/>
  <c r="F100" i="1"/>
  <c r="AO101" i="1"/>
  <c r="AT101" i="1"/>
  <c r="AM101" i="1"/>
  <c r="AA104" i="1"/>
  <c r="AH104" i="1"/>
  <c r="Z103" i="1"/>
  <c r="Z13" i="1" s="1"/>
  <c r="Z9" i="1" s="1"/>
  <c r="AA107" i="1"/>
  <c r="AH103" i="1"/>
  <c r="AF109" i="1"/>
  <c r="AF105" i="1" s="1"/>
  <c r="AL105" i="1"/>
  <c r="AO118" i="1"/>
  <c r="AM118" i="1"/>
  <c r="AV122" i="1"/>
  <c r="AW124" i="1"/>
  <c r="AW122" i="1" s="1"/>
  <c r="AV126" i="1"/>
  <c r="AW126" i="1" s="1"/>
  <c r="AV123" i="1"/>
  <c r="AW125" i="1"/>
  <c r="AW123" i="1" s="1"/>
  <c r="AU120" i="1"/>
  <c r="AU121" i="1" s="1"/>
  <c r="AU15" i="1" s="1"/>
  <c r="AS130" i="1"/>
  <c r="AO137" i="1"/>
  <c r="AD143" i="1"/>
  <c r="AG143" i="1" s="1"/>
  <c r="AG142" i="1"/>
  <c r="AS143" i="1"/>
  <c r="AF146" i="1"/>
  <c r="AD146" i="1"/>
  <c r="AG146" i="1" s="1"/>
  <c r="AP148" i="1"/>
  <c r="AP149" i="1" s="1"/>
  <c r="AO154" i="1"/>
  <c r="N155" i="1"/>
  <c r="N153" i="1" s="1"/>
  <c r="P153" i="1"/>
  <c r="AV155" i="1"/>
  <c r="P159" i="1"/>
  <c r="O159" i="1"/>
  <c r="AO163" i="1"/>
  <c r="AP162" i="1"/>
  <c r="AP163" i="1" s="1"/>
  <c r="AS166" i="1"/>
  <c r="AM166" i="1"/>
  <c r="AJ168" i="1"/>
  <c r="AJ169" i="1" s="1"/>
  <c r="AI169" i="1"/>
  <c r="AR169" i="1" s="1"/>
  <c r="AM180" i="1"/>
  <c r="AS180" i="1"/>
  <c r="O176" i="1"/>
  <c r="AV189" i="1"/>
  <c r="AW189" i="1" s="1"/>
  <c r="AS189" i="1"/>
  <c r="AM189" i="1"/>
  <c r="AF192" i="1"/>
  <c r="AO195" i="1"/>
  <c r="AP194" i="1"/>
  <c r="AP195" i="1" s="1"/>
  <c r="AO202" i="1"/>
  <c r="AO201" i="1"/>
  <c r="AP201" i="1" s="1"/>
  <c r="AY201" i="1"/>
  <c r="AY196" i="1" s="1"/>
  <c r="E200" i="1"/>
  <c r="F199" i="1"/>
  <c r="E197" i="1"/>
  <c r="N198" i="1"/>
  <c r="AR198" i="1"/>
  <c r="AJ198" i="1"/>
  <c r="AJ196" i="1" s="1"/>
  <c r="AI196" i="1"/>
  <c r="AR196" i="1" s="1"/>
  <c r="AZ201" i="1"/>
  <c r="BL198" i="1"/>
  <c r="BL196" i="1" s="1"/>
  <c r="F208" i="1"/>
  <c r="F207" i="1" s="1"/>
  <c r="F205" i="1" s="1"/>
  <c r="E207" i="1"/>
  <c r="AG207" i="1"/>
  <c r="AG205" i="1" s="1"/>
  <c r="AD205" i="1"/>
  <c r="AO208" i="1"/>
  <c r="AP207" i="1"/>
  <c r="AR235" i="1"/>
  <c r="AJ235" i="1"/>
  <c r="AJ233" i="1" s="1"/>
  <c r="AI233" i="1"/>
  <c r="AR233" i="1" s="1"/>
  <c r="BL238" i="1"/>
  <c r="P244" i="1"/>
  <c r="O244" i="1"/>
  <c r="Q245" i="1"/>
  <c r="Q242" i="1"/>
  <c r="AT242" i="1"/>
  <c r="BF241" i="1"/>
  <c r="AD274" i="1"/>
  <c r="AG274" i="1" s="1"/>
  <c r="AF274" i="1"/>
  <c r="E112" i="1"/>
  <c r="F111" i="1"/>
  <c r="J126" i="1"/>
  <c r="J125" i="1" s="1"/>
  <c r="J123" i="1" s="1"/>
  <c r="I125" i="1"/>
  <c r="I123" i="1" s="1"/>
  <c r="AO128" i="1"/>
  <c r="AD134" i="1"/>
  <c r="AG134" i="1" s="1"/>
  <c r="AG133" i="1"/>
  <c r="AV135" i="1"/>
  <c r="AW135" i="1" s="1"/>
  <c r="AV137" i="1"/>
  <c r="AW137" i="1" s="1"/>
  <c r="P146" i="1"/>
  <c r="N146" i="1" s="1"/>
  <c r="O146" i="1"/>
  <c r="AC157" i="1"/>
  <c r="AC154" i="1"/>
  <c r="AF156" i="1"/>
  <c r="AD156" i="1"/>
  <c r="AX153" i="1"/>
  <c r="AX119" i="1" s="1"/>
  <c r="AV163" i="1"/>
  <c r="AW163" i="1" s="1"/>
  <c r="AW162" i="1"/>
  <c r="AG179" i="1"/>
  <c r="AG177" i="1" s="1"/>
  <c r="AD177" i="1"/>
  <c r="AX176" i="1"/>
  <c r="AX184" i="1"/>
  <c r="AO192" i="1"/>
  <c r="AZ196" i="1"/>
  <c r="F263" i="1"/>
  <c r="F261" i="1" s="1"/>
  <c r="E265" i="1"/>
  <c r="E261" i="1"/>
  <c r="P302" i="1"/>
  <c r="N302" i="1" s="1"/>
  <c r="O302" i="1"/>
  <c r="AG304" i="1"/>
  <c r="AO307" i="1"/>
  <c r="AP306" i="1"/>
  <c r="AQ390" i="1"/>
  <c r="AO390" i="1" s="1"/>
  <c r="AP390" i="1" s="1"/>
  <c r="AZ390" i="1"/>
  <c r="AN343" i="1"/>
  <c r="AO404" i="1"/>
  <c r="AP403" i="1"/>
  <c r="AP404" i="1" s="1"/>
  <c r="AV404" i="1"/>
  <c r="AW404" i="1" s="1"/>
  <c r="AW403" i="1"/>
  <c r="BA412" i="1"/>
  <c r="BA413" i="1"/>
  <c r="BA11" i="1" s="1"/>
  <c r="BA10" i="1" s="1"/>
  <c r="AD412" i="1"/>
  <c r="AD413" i="1"/>
  <c r="AG416" i="1"/>
  <c r="AG414" i="1" s="1"/>
  <c r="AG411" i="1" s="1"/>
  <c r="O421" i="1"/>
  <c r="AX413" i="1"/>
  <c r="AX412" i="1"/>
  <c r="BB413" i="1"/>
  <c r="BB412" i="1"/>
  <c r="BF413" i="1"/>
  <c r="BF11" i="1" s="1"/>
  <c r="BF10" i="1" s="1"/>
  <c r="BF412" i="1"/>
  <c r="BJ412" i="1"/>
  <c r="BJ413" i="1"/>
  <c r="BO413" i="1"/>
  <c r="BO11" i="1" s="1"/>
  <c r="BO10" i="1" s="1"/>
  <c r="BO412" i="1"/>
  <c r="AW22" i="1"/>
  <c r="AW19" i="1" s="1"/>
  <c r="F28" i="1"/>
  <c r="AP30" i="1"/>
  <c r="P33" i="1"/>
  <c r="AV35" i="1"/>
  <c r="AW35" i="1" s="1"/>
  <c r="AW34" i="1"/>
  <c r="O38" i="1"/>
  <c r="Q38" i="1" s="1"/>
  <c r="AW40" i="1"/>
  <c r="AO42" i="1"/>
  <c r="J43" i="1"/>
  <c r="AP47" i="1"/>
  <c r="P54" i="1"/>
  <c r="N59" i="1"/>
  <c r="P59" i="1" s="1"/>
  <c r="P61" i="1"/>
  <c r="Q67" i="1"/>
  <c r="AP68" i="1"/>
  <c r="Q22" i="1"/>
  <c r="Q19" i="1" s="1"/>
  <c r="AJ25" i="1"/>
  <c r="AI26" i="1"/>
  <c r="AR26" i="1" s="1"/>
  <c r="AP29" i="1"/>
  <c r="N40" i="1"/>
  <c r="P42" i="1"/>
  <c r="AP42" i="1"/>
  <c r="AZ42" i="1"/>
  <c r="AZ24" i="1" s="1"/>
  <c r="AO43" i="1"/>
  <c r="I44" i="1"/>
  <c r="AJ44" i="1"/>
  <c r="AP44" i="1" s="1"/>
  <c r="P49" i="1"/>
  <c r="AR59" i="1"/>
  <c r="P60" i="1"/>
  <c r="Q61" i="1"/>
  <c r="AV62" i="1"/>
  <c r="AW62" i="1" s="1"/>
  <c r="AW61" i="1"/>
  <c r="O65" i="1"/>
  <c r="Q65" i="1" s="1"/>
  <c r="P70" i="1"/>
  <c r="AP71" i="1"/>
  <c r="AP73" i="1"/>
  <c r="O77" i="1"/>
  <c r="Q77" i="1" s="1"/>
  <c r="AV83" i="1"/>
  <c r="AW83" i="1" s="1"/>
  <c r="AW82" i="1"/>
  <c r="E85" i="1"/>
  <c r="J85" i="1"/>
  <c r="AO85" i="1"/>
  <c r="AP88" i="1"/>
  <c r="AW91" i="1"/>
  <c r="N94" i="1"/>
  <c r="P93" i="1"/>
  <c r="AR101" i="1"/>
  <c r="U104" i="1"/>
  <c r="W104" i="1"/>
  <c r="AT104" i="1"/>
  <c r="T107" i="1"/>
  <c r="V103" i="1"/>
  <c r="AQ103" i="1"/>
  <c r="AP108" i="1"/>
  <c r="AO105" i="1"/>
  <c r="AO104" i="1" s="1"/>
  <c r="AW109" i="1"/>
  <c r="P114" i="1"/>
  <c r="Q115" i="1"/>
  <c r="AV118" i="1"/>
  <c r="AW118" i="1" s="1"/>
  <c r="AW117" i="1"/>
  <c r="N117" i="1"/>
  <c r="O118" i="1"/>
  <c r="N118" i="1" s="1"/>
  <c r="N105" i="1" s="1"/>
  <c r="AU104" i="1"/>
  <c r="AS119" i="1"/>
  <c r="AS13" i="1" s="1"/>
  <c r="AS9" i="1" s="1"/>
  <c r="BB119" i="1"/>
  <c r="BB13" i="1" s="1"/>
  <c r="BB9" i="1" s="1"/>
  <c r="BJ119" i="1"/>
  <c r="AP125" i="1"/>
  <c r="AP123" i="1" s="1"/>
  <c r="AO123" i="1"/>
  <c r="BO119" i="1"/>
  <c r="AR128" i="1"/>
  <c r="BP120" i="1"/>
  <c r="BP121" i="1" s="1"/>
  <c r="BP15" i="1" s="1"/>
  <c r="N127" i="1"/>
  <c r="AG129" i="1"/>
  <c r="AG127" i="1" s="1"/>
  <c r="AD127" i="1"/>
  <c r="AV139" i="1"/>
  <c r="E128" i="1"/>
  <c r="AV132" i="1"/>
  <c r="AV134" i="1"/>
  <c r="AW134" i="1" s="1"/>
  <c r="AD137" i="1"/>
  <c r="AG137" i="1" s="1"/>
  <c r="AG136" i="1"/>
  <c r="P140" i="1"/>
  <c r="N140" i="1" s="1"/>
  <c r="O140" i="1"/>
  <c r="AM140" i="1"/>
  <c r="AP127" i="1"/>
  <c r="AL146" i="1"/>
  <c r="AV145" i="1"/>
  <c r="AW145" i="1" s="1"/>
  <c r="AO145" i="1"/>
  <c r="AS145" i="1"/>
  <c r="AM145" i="1"/>
  <c r="AR146" i="1"/>
  <c r="AJ146" i="1"/>
  <c r="AJ145" i="1" s="1"/>
  <c r="BK119" i="1"/>
  <c r="BK13" i="1" s="1"/>
  <c r="BK9" i="1" s="1"/>
  <c r="AZ120" i="1"/>
  <c r="AZ121" i="1" s="1"/>
  <c r="AZ15" i="1" s="1"/>
  <c r="BD120" i="1"/>
  <c r="BD121" i="1" s="1"/>
  <c r="BD15" i="1" s="1"/>
  <c r="BH120" i="1"/>
  <c r="BH121" i="1" s="1"/>
  <c r="BH15" i="1" s="1"/>
  <c r="BL120" i="1"/>
  <c r="BL121" i="1" s="1"/>
  <c r="BL15" i="1" s="1"/>
  <c r="AD153" i="1"/>
  <c r="AG155" i="1"/>
  <c r="AG153" i="1" s="1"/>
  <c r="O154" i="1"/>
  <c r="AM154" i="1"/>
  <c r="O163" i="1"/>
  <c r="AS169" i="1"/>
  <c r="AM169" i="1"/>
  <c r="AV169" i="1"/>
  <c r="AW169" i="1" s="1"/>
  <c r="AP206" i="1"/>
  <c r="AX209" i="1"/>
  <c r="S204" i="1"/>
  <c r="S119" i="1" s="1"/>
  <c r="AT232" i="1"/>
  <c r="AM232" i="1"/>
  <c r="AG256" i="1"/>
  <c r="AG242" i="1" s="1"/>
  <c r="AD242" i="1"/>
  <c r="AO274" i="1"/>
  <c r="AP273" i="1"/>
  <c r="AP274" i="1" s="1"/>
  <c r="AV59" i="1"/>
  <c r="AW59" i="1" s="1"/>
  <c r="BC113" i="1"/>
  <c r="BC103" i="1" s="1"/>
  <c r="AO103" i="1"/>
  <c r="AP130" i="1"/>
  <c r="AP131" i="1" s="1"/>
  <c r="AO131" i="1"/>
  <c r="AI119" i="1"/>
  <c r="AR153" i="1"/>
  <c r="F156" i="1"/>
  <c r="F154" i="1" s="1"/>
  <c r="E154" i="1"/>
  <c r="J156" i="1"/>
  <c r="I154" i="1"/>
  <c r="AI154" i="1"/>
  <c r="AI166" i="1"/>
  <c r="AR166" i="1" s="1"/>
  <c r="AR165" i="1"/>
  <c r="AJ165" i="1"/>
  <c r="AC169" i="1"/>
  <c r="AF168" i="1"/>
  <c r="AD168" i="1"/>
  <c r="AG168" i="1" s="1"/>
  <c r="AH181" i="1"/>
  <c r="AH176" i="1" s="1"/>
  <c r="AH119" i="1" s="1"/>
  <c r="AE176" i="1"/>
  <c r="AL186" i="1"/>
  <c r="AS186" i="1" s="1"/>
  <c r="AO185" i="1"/>
  <c r="AS185" i="1"/>
  <c r="AS177" i="1" s="1"/>
  <c r="AR185" i="1"/>
  <c r="AM185" i="1"/>
  <c r="P201" i="1"/>
  <c r="N201" i="1" s="1"/>
  <c r="O201" i="1"/>
  <c r="O196" i="1" s="1"/>
  <c r="Q196" i="1"/>
  <c r="Q202" i="1"/>
  <c r="N246" i="1"/>
  <c r="N241" i="1" s="1"/>
  <c r="P241" i="1"/>
  <c r="AO251" i="1"/>
  <c r="AP250" i="1"/>
  <c r="AP251" i="1" s="1"/>
  <c r="AG264" i="1"/>
  <c r="AG262" i="1" s="1"/>
  <c r="AD262" i="1"/>
  <c r="I25" i="1"/>
  <c r="AI25" i="1"/>
  <c r="AR25" i="1" s="1"/>
  <c r="P27" i="1"/>
  <c r="BQ15" i="1"/>
  <c r="AL25" i="1"/>
  <c r="P31" i="1"/>
  <c r="E43" i="1"/>
  <c r="F43" i="1" s="1"/>
  <c r="O47" i="1"/>
  <c r="Q47" i="1" s="1"/>
  <c r="N67" i="1"/>
  <c r="AV85" i="1"/>
  <c r="AV88" i="1"/>
  <c r="AW87" i="1"/>
  <c r="N92" i="1"/>
  <c r="P92" i="1" s="1"/>
  <c r="P91" i="1"/>
  <c r="AO92" i="1"/>
  <c r="AM92" i="1"/>
  <c r="AP92" i="1" s="1"/>
  <c r="AD107" i="1"/>
  <c r="AD103" i="1" s="1"/>
  <c r="AG108" i="1"/>
  <c r="O115" i="1"/>
  <c r="AO115" i="1"/>
  <c r="AO106" i="1" s="1"/>
  <c r="AO16" i="1" s="1"/>
  <c r="AO12" i="1" s="1"/>
  <c r="AL106" i="1"/>
  <c r="AL16" i="1" s="1"/>
  <c r="AL12" i="1" s="1"/>
  <c r="AM115" i="1"/>
  <c r="AK119" i="1"/>
  <c r="P127" i="1"/>
  <c r="O127" i="1"/>
  <c r="AE127" i="1"/>
  <c r="AE119" i="1" s="1"/>
  <c r="N130" i="1"/>
  <c r="AV130" i="1"/>
  <c r="P128" i="1"/>
  <c r="AJ128" i="1"/>
  <c r="AD130" i="1"/>
  <c r="AG131" i="1"/>
  <c r="AO134" i="1"/>
  <c r="AR143" i="1"/>
  <c r="P149" i="1"/>
  <c r="N149" i="1" s="1"/>
  <c r="O149" i="1"/>
  <c r="AE153" i="1"/>
  <c r="AO153" i="1"/>
  <c r="AH153" i="1"/>
  <c r="AX164" i="1"/>
  <c r="AC166" i="1"/>
  <c r="AF165" i="1"/>
  <c r="AD165" i="1"/>
  <c r="AG165" i="1" s="1"/>
  <c r="AO165" i="1"/>
  <c r="AR168" i="1"/>
  <c r="P176" i="1"/>
  <c r="O188" i="1"/>
  <c r="P188" i="1"/>
  <c r="N188" i="1" s="1"/>
  <c r="Q189" i="1"/>
  <c r="N199" i="1"/>
  <c r="AO200" i="1"/>
  <c r="AP199" i="1"/>
  <c r="AO197" i="1"/>
  <c r="AV246" i="1"/>
  <c r="AO254" i="1"/>
  <c r="AP253" i="1"/>
  <c r="AP254" i="1" s="1"/>
  <c r="O265" i="1"/>
  <c r="P265" i="1"/>
  <c r="N265" i="1" s="1"/>
  <c r="AT284" i="1"/>
  <c r="AM284" i="1"/>
  <c r="AM282" i="1" s="1"/>
  <c r="AL285" i="1"/>
  <c r="AV284" i="1"/>
  <c r="AO284" i="1"/>
  <c r="AL282" i="1"/>
  <c r="AR282" i="1" s="1"/>
  <c r="AO413" i="1"/>
  <c r="AO412" i="1"/>
  <c r="N100" i="1"/>
  <c r="AF108" i="1"/>
  <c r="P112" i="1"/>
  <c r="Q112" i="1" s="1"/>
  <c r="AV115" i="1"/>
  <c r="AR139" i="1"/>
  <c r="AR142" i="1"/>
  <c r="AR148" i="1"/>
  <c r="AO152" i="1"/>
  <c r="AS157" i="1"/>
  <c r="AS168" i="1"/>
  <c r="AS154" i="1" s="1"/>
  <c r="N176" i="1"/>
  <c r="J179" i="1"/>
  <c r="I177" i="1"/>
  <c r="AR186" i="1"/>
  <c r="AJ186" i="1"/>
  <c r="O194" i="1"/>
  <c r="Q195" i="1"/>
  <c r="AI195" i="1"/>
  <c r="AR195" i="1" s="1"/>
  <c r="AR194" i="1"/>
  <c r="AJ194" i="1"/>
  <c r="AJ195" i="1" s="1"/>
  <c r="AI177" i="1"/>
  <c r="AR177" i="1" s="1"/>
  <c r="AV195" i="1"/>
  <c r="AW195" i="1" s="1"/>
  <c r="AS195" i="1"/>
  <c r="AM195" i="1"/>
  <c r="O199" i="1"/>
  <c r="Q200" i="1"/>
  <c r="Q197" i="1"/>
  <c r="AI200" i="1"/>
  <c r="AR200" i="1" s="1"/>
  <c r="AR199" i="1"/>
  <c r="AJ199" i="1"/>
  <c r="AG204" i="1"/>
  <c r="AK204" i="1"/>
  <c r="AO221" i="1"/>
  <c r="AP221" i="1" s="1"/>
  <c r="AO216" i="1"/>
  <c r="BL215" i="1"/>
  <c r="AO210" i="1"/>
  <c r="AQ212" i="1"/>
  <c r="AN204" i="1"/>
  <c r="N213" i="1"/>
  <c r="AV213" i="1"/>
  <c r="AO215" i="1"/>
  <c r="AP215" i="1" s="1"/>
  <c r="BF218" i="1"/>
  <c r="AO219" i="1"/>
  <c r="AT229" i="1"/>
  <c r="AM229" i="1"/>
  <c r="P231" i="1"/>
  <c r="N231" i="1" s="1"/>
  <c r="Q232" i="1"/>
  <c r="O231" i="1"/>
  <c r="AO236" i="1"/>
  <c r="AO252" i="1"/>
  <c r="AP252" i="1" s="1"/>
  <c r="AM252" i="1"/>
  <c r="AV266" i="1"/>
  <c r="AW266" i="1" s="1"/>
  <c r="N266" i="1"/>
  <c r="N261" i="1" s="1"/>
  <c r="AF261" i="1"/>
  <c r="O305" i="1"/>
  <c r="P305" i="1"/>
  <c r="Q306" i="1"/>
  <c r="O80" i="1"/>
  <c r="Q80" i="1" s="1"/>
  <c r="N83" i="1"/>
  <c r="P83" i="1" s="1"/>
  <c r="N85" i="1"/>
  <c r="AR85" i="1"/>
  <c r="AL86" i="1"/>
  <c r="N88" i="1"/>
  <c r="AW90" i="1"/>
  <c r="AO100" i="1"/>
  <c r="AL103" i="1"/>
  <c r="AI104" i="1"/>
  <c r="AR104" i="1" s="1"/>
  <c r="P105" i="1"/>
  <c r="I106" i="1"/>
  <c r="I16" i="1" s="1"/>
  <c r="I12" i="1" s="1"/>
  <c r="AC106" i="1"/>
  <c r="AC16" i="1" s="1"/>
  <c r="AC12" i="1" s="1"/>
  <c r="X107" i="1"/>
  <c r="X103" i="1" s="1"/>
  <c r="X13" i="1" s="1"/>
  <c r="X9" i="1" s="1"/>
  <c r="U108" i="1"/>
  <c r="J109" i="1"/>
  <c r="J105" i="1" s="1"/>
  <c r="Q109" i="1"/>
  <c r="Q105" i="1" s="1"/>
  <c r="X109" i="1"/>
  <c r="AM116" i="1"/>
  <c r="AP116" i="1" s="1"/>
  <c r="AP103" i="1" s="1"/>
  <c r="AD118" i="1"/>
  <c r="Q128" i="1"/>
  <c r="Q131" i="1"/>
  <c r="AM139" i="1"/>
  <c r="AM128" i="1" s="1"/>
  <c r="AS139" i="1"/>
  <c r="AD140" i="1"/>
  <c r="AG140" i="1" s="1"/>
  <c r="AJ140" i="1"/>
  <c r="AJ139" i="1" s="1"/>
  <c r="AM142" i="1"/>
  <c r="AM143" i="1" s="1"/>
  <c r="AS142" i="1"/>
  <c r="AJ143" i="1"/>
  <c r="AJ142" i="1" s="1"/>
  <c r="P148" i="1"/>
  <c r="N148" i="1" s="1"/>
  <c r="AM148" i="1"/>
  <c r="AS148" i="1"/>
  <c r="AL149" i="1"/>
  <c r="AC153" i="1"/>
  <c r="P156" i="1"/>
  <c r="P168" i="1"/>
  <c r="N168" i="1" s="1"/>
  <c r="AM168" i="1"/>
  <c r="AV168" i="1"/>
  <c r="AW168" i="1" s="1"/>
  <c r="AI172" i="1"/>
  <c r="AR172" i="1" s="1"/>
  <c r="AR171" i="1"/>
  <c r="AO171" i="1"/>
  <c r="AS172" i="1"/>
  <c r="AF175" i="1"/>
  <c r="AD176" i="1"/>
  <c r="P182" i="1"/>
  <c r="Q177" i="1"/>
  <c r="O182" i="1"/>
  <c r="O177" i="1" s="1"/>
  <c r="Q186" i="1"/>
  <c r="AF189" i="1"/>
  <c r="AD189" i="1"/>
  <c r="AG189" i="1" s="1"/>
  <c r="P192" i="1"/>
  <c r="N192" i="1" s="1"/>
  <c r="AD196" i="1"/>
  <c r="AI197" i="1"/>
  <c r="AR197" i="1" s="1"/>
  <c r="AO198" i="1"/>
  <c r="AQ196" i="1"/>
  <c r="AV197" i="1"/>
  <c r="AW199" i="1"/>
  <c r="AW197" i="1" s="1"/>
  <c r="AF203" i="1"/>
  <c r="AD203" i="1"/>
  <c r="AG203" i="1" s="1"/>
  <c r="AH204" i="1"/>
  <c r="AO209" i="1"/>
  <c r="AP209" i="1" s="1"/>
  <c r="P210" i="1"/>
  <c r="O210" i="1"/>
  <c r="O205" i="1" s="1"/>
  <c r="Q211" i="1"/>
  <c r="AT217" i="1"/>
  <c r="AM217" i="1"/>
  <c r="P219" i="1"/>
  <c r="N219" i="1" s="1"/>
  <c r="O219" i="1"/>
  <c r="Q220" i="1"/>
  <c r="BL221" i="1"/>
  <c r="AT226" i="1"/>
  <c r="AM226" i="1"/>
  <c r="P228" i="1"/>
  <c r="N228" i="1" s="1"/>
  <c r="Q229" i="1"/>
  <c r="O228" i="1"/>
  <c r="AD233" i="1"/>
  <c r="AF233" i="1"/>
  <c r="AF119" i="1" s="1"/>
  <c r="AZ235" i="1"/>
  <c r="J237" i="1"/>
  <c r="J234" i="1"/>
  <c r="AI237" i="1"/>
  <c r="AR237" i="1" s="1"/>
  <c r="AR236" i="1"/>
  <c r="AJ236" i="1"/>
  <c r="AV237" i="1"/>
  <c r="AW237" i="1" s="1"/>
  <c r="AT237" i="1"/>
  <c r="AM237" i="1"/>
  <c r="P239" i="1"/>
  <c r="N239" i="1" s="1"/>
  <c r="O239" i="1"/>
  <c r="Q240" i="1"/>
  <c r="AM240" i="1"/>
  <c r="AF241" i="1"/>
  <c r="AQ243" i="1"/>
  <c r="AO244" i="1" s="1"/>
  <c r="AN241" i="1"/>
  <c r="AO246" i="1"/>
  <c r="AP246" i="1" s="1"/>
  <c r="AV254" i="1"/>
  <c r="AW254" i="1" s="1"/>
  <c r="AT254" i="1"/>
  <c r="AM254" i="1"/>
  <c r="AF257" i="1"/>
  <c r="AD257" i="1"/>
  <c r="AG257" i="1" s="1"/>
  <c r="AR262" i="1"/>
  <c r="J262" i="1"/>
  <c r="J265" i="1"/>
  <c r="BF266" i="1"/>
  <c r="BF261" i="1" s="1"/>
  <c r="AO266" i="1"/>
  <c r="AP266" i="1" s="1"/>
  <c r="AF268" i="1"/>
  <c r="AD268" i="1"/>
  <c r="AG268" i="1" s="1"/>
  <c r="AV274" i="1"/>
  <c r="AW274" i="1" s="1"/>
  <c r="AM274" i="1"/>
  <c r="AG278" i="1"/>
  <c r="AG261" i="1" s="1"/>
  <c r="AD261" i="1"/>
  <c r="AV291" i="1"/>
  <c r="AW291" i="1" s="1"/>
  <c r="AT291" i="1"/>
  <c r="AM291" i="1"/>
  <c r="O291" i="1"/>
  <c r="AV342" i="1"/>
  <c r="AW342" i="1" s="1"/>
  <c r="AM342" i="1"/>
  <c r="AT342" i="1"/>
  <c r="AM85" i="1"/>
  <c r="P97" i="1"/>
  <c r="AP100" i="1"/>
  <c r="AE103" i="1"/>
  <c r="AC105" i="1"/>
  <c r="AC104" i="1" s="1"/>
  <c r="AO139" i="1"/>
  <c r="AO142" i="1"/>
  <c r="AV142" i="1"/>
  <c r="AW142" i="1" s="1"/>
  <c r="O145" i="1"/>
  <c r="AO168" i="1"/>
  <c r="AC172" i="1"/>
  <c r="AF171" i="1"/>
  <c r="AM176" i="1"/>
  <c r="AP176" i="1" s="1"/>
  <c r="AC180" i="1"/>
  <c r="AF179" i="1"/>
  <c r="AF177" i="1" s="1"/>
  <c r="AC177" i="1"/>
  <c r="AC183" i="1"/>
  <c r="AF183" i="1" s="1"/>
  <c r="AF182" i="1"/>
  <c r="O193" i="1"/>
  <c r="Q176" i="1"/>
  <c r="Q119" i="1" s="1"/>
  <c r="Q13" i="1" s="1"/>
  <c r="Q9" i="1" s="1"/>
  <c r="AM196" i="1"/>
  <c r="J200" i="1"/>
  <c r="J197" i="1"/>
  <c r="AV200" i="1"/>
  <c r="AW200" i="1" s="1"/>
  <c r="AT200" i="1"/>
  <c r="AM200" i="1"/>
  <c r="E204" i="1"/>
  <c r="E119" i="1" s="1"/>
  <c r="E13" i="1" s="1"/>
  <c r="E9" i="1" s="1"/>
  <c r="F206" i="1"/>
  <c r="F204" i="1" s="1"/>
  <c r="BF206" i="1"/>
  <c r="AF205" i="1"/>
  <c r="AZ215" i="1"/>
  <c r="AV215" i="1"/>
  <c r="AW215" i="1" s="1"/>
  <c r="AZ218" i="1"/>
  <c r="P223" i="1"/>
  <c r="N223" i="1" s="1"/>
  <c r="O223" i="1"/>
  <c r="AO226" i="1"/>
  <c r="AP225" i="1"/>
  <c r="AP226" i="1" s="1"/>
  <c r="P226" i="1"/>
  <c r="N226" i="1" s="1"/>
  <c r="O226" i="1"/>
  <c r="AM233" i="1"/>
  <c r="BL235" i="1"/>
  <c r="P236" i="1"/>
  <c r="O236" i="1"/>
  <c r="O234" i="1" s="1"/>
  <c r="Q237" i="1"/>
  <c r="Q234" i="1"/>
  <c r="AW236" i="1"/>
  <c r="AW234" i="1" s="1"/>
  <c r="AZ238" i="1"/>
  <c r="AG241" i="1"/>
  <c r="AW243" i="1"/>
  <c r="AI242" i="1"/>
  <c r="AI245" i="1"/>
  <c r="AJ244" i="1"/>
  <c r="AH241" i="1"/>
  <c r="P247" i="1"/>
  <c r="O247" i="1"/>
  <c r="P248" i="1"/>
  <c r="N248" i="1" s="1"/>
  <c r="O248" i="1"/>
  <c r="AZ252" i="1"/>
  <c r="AZ241" i="1" s="1"/>
  <c r="P257" i="1"/>
  <c r="N257" i="1" s="1"/>
  <c r="O257" i="1"/>
  <c r="AL257" i="1"/>
  <c r="AV256" i="1"/>
  <c r="AW256" i="1" s="1"/>
  <c r="AO256" i="1"/>
  <c r="AT256" i="1"/>
  <c r="AM256" i="1"/>
  <c r="AL242" i="1"/>
  <c r="AO242" i="1" s="1"/>
  <c r="P260" i="1"/>
  <c r="N260" i="1" s="1"/>
  <c r="O260" i="1"/>
  <c r="AM261" i="1"/>
  <c r="AP261" i="1" s="1"/>
  <c r="AJ265" i="1"/>
  <c r="AJ262" i="1"/>
  <c r="AP270" i="1"/>
  <c r="AP271" i="1" s="1"/>
  <c r="O282" i="1"/>
  <c r="AD285" i="1"/>
  <c r="AG285" i="1" s="1"/>
  <c r="AF285" i="1"/>
  <c r="AT207" i="1"/>
  <c r="AT208" i="1"/>
  <c r="AV212" i="1"/>
  <c r="AW212" i="1" s="1"/>
  <c r="AW204" i="1" s="1"/>
  <c r="E245" i="1"/>
  <c r="Q254" i="1"/>
  <c r="AZ263" i="1"/>
  <c r="Q268" i="1"/>
  <c r="Q267" i="1"/>
  <c r="AO267" i="1"/>
  <c r="AZ269" i="1"/>
  <c r="Q277" i="1"/>
  <c r="N281" i="1"/>
  <c r="J285" i="1"/>
  <c r="J282" i="1"/>
  <c r="E307" i="1"/>
  <c r="E304" i="1"/>
  <c r="F306" i="1"/>
  <c r="Q309" i="1"/>
  <c r="P308" i="1"/>
  <c r="N308" i="1" s="1"/>
  <c r="O308" i="1"/>
  <c r="AO324" i="1"/>
  <c r="AP323" i="1"/>
  <c r="O343" i="1"/>
  <c r="AH354" i="1"/>
  <c r="AE343" i="1"/>
  <c r="AL445" i="1"/>
  <c r="AO378" i="1"/>
  <c r="AZ378" i="1"/>
  <c r="AM378" i="1"/>
  <c r="AL343" i="1"/>
  <c r="AR343" i="1" s="1"/>
  <c r="P385" i="1"/>
  <c r="N385" i="1" s="1"/>
  <c r="Q386" i="1"/>
  <c r="O385" i="1"/>
  <c r="P179" i="1"/>
  <c r="P204" i="1"/>
  <c r="AM206" i="1"/>
  <c r="AZ206" i="1"/>
  <c r="AV207" i="1"/>
  <c r="AM209" i="1"/>
  <c r="Q214" i="1"/>
  <c r="AM215" i="1"/>
  <c r="AX215" i="1"/>
  <c r="AX204" i="1" s="1"/>
  <c r="Q217" i="1"/>
  <c r="AO218" i="1"/>
  <c r="AP218" i="1" s="1"/>
  <c r="AM222" i="1"/>
  <c r="AM205" i="1" s="1"/>
  <c r="AT222" i="1"/>
  <c r="AL223" i="1"/>
  <c r="E234" i="1"/>
  <c r="AL234" i="1"/>
  <c r="AR234" i="1" s="1"/>
  <c r="AO235" i="1"/>
  <c r="F236" i="1"/>
  <c r="AO238" i="1"/>
  <c r="AP238" i="1" s="1"/>
  <c r="AM239" i="1"/>
  <c r="AM234" i="1" s="1"/>
  <c r="AT239" i="1"/>
  <c r="AT234" i="1" s="1"/>
  <c r="AD240" i="1"/>
  <c r="AG240" i="1" s="1"/>
  <c r="F243" i="1"/>
  <c r="F241" i="1" s="1"/>
  <c r="AD245" i="1"/>
  <c r="AG245" i="1" s="1"/>
  <c r="AM246" i="1"/>
  <c r="AM247" i="1"/>
  <c r="AM248" i="1" s="1"/>
  <c r="AT247" i="1"/>
  <c r="AD248" i="1"/>
  <c r="AG248" i="1" s="1"/>
  <c r="AM249" i="1"/>
  <c r="Q251" i="1"/>
  <c r="AO255" i="1"/>
  <c r="AP255" i="1" s="1"/>
  <c r="P256" i="1"/>
  <c r="N256" i="1" s="1"/>
  <c r="AD260" i="1"/>
  <c r="AG260" i="1" s="1"/>
  <c r="AM260" i="1"/>
  <c r="AT260" i="1"/>
  <c r="AI261" i="1"/>
  <c r="AR261" i="1" s="1"/>
  <c r="Q262" i="1"/>
  <c r="AL262" i="1"/>
  <c r="AO262" i="1" s="1"/>
  <c r="AJ263" i="1"/>
  <c r="AJ261" i="1" s="1"/>
  <c r="P264" i="1"/>
  <c r="AM262" i="1"/>
  <c r="AP262" i="1" s="1"/>
  <c r="AF265" i="1"/>
  <c r="AT270" i="1"/>
  <c r="AT262" i="1" s="1"/>
  <c r="AM270" i="1"/>
  <c r="AM271" i="1" s="1"/>
  <c r="AL271" i="1"/>
  <c r="AT271" i="1" s="1"/>
  <c r="P274" i="1"/>
  <c r="N274" i="1" s="1"/>
  <c r="AT280" i="1"/>
  <c r="AM280" i="1"/>
  <c r="AV280" i="1"/>
  <c r="AW280" i="1" s="1"/>
  <c r="F283" i="1"/>
  <c r="F281" i="1" s="1"/>
  <c r="E284" i="1"/>
  <c r="AR283" i="1"/>
  <c r="AJ283" i="1"/>
  <c r="AJ281" i="1" s="1"/>
  <c r="AI281" i="1"/>
  <c r="AR281" i="1" s="1"/>
  <c r="BF283" i="1"/>
  <c r="BF281" i="1" s="1"/>
  <c r="AR284" i="1"/>
  <c r="AI285" i="1"/>
  <c r="AR285" i="1" s="1"/>
  <c r="P288" i="1"/>
  <c r="N288" i="1" s="1"/>
  <c r="O288" i="1"/>
  <c r="AF288" i="1"/>
  <c r="AD288" i="1"/>
  <c r="AG288" i="1" s="1"/>
  <c r="N295" i="1"/>
  <c r="N293" i="1" s="1"/>
  <c r="P293" i="1"/>
  <c r="AH292" i="1"/>
  <c r="AZ294" i="1"/>
  <c r="AZ292" i="1" s="1"/>
  <c r="E293" i="1"/>
  <c r="E296" i="1"/>
  <c r="F295" i="1"/>
  <c r="AF296" i="1"/>
  <c r="AD296" i="1"/>
  <c r="AG296" i="1" s="1"/>
  <c r="AX343" i="1"/>
  <c r="AD204" i="1"/>
  <c r="AC205" i="1"/>
  <c r="N206" i="1"/>
  <c r="N204" i="1" s="1"/>
  <c r="AO222" i="1"/>
  <c r="AO239" i="1"/>
  <c r="AV239" i="1"/>
  <c r="AW239" i="1" s="1"/>
  <c r="AD241" i="1"/>
  <c r="AL241" i="1"/>
  <c r="AO241" i="1" s="1"/>
  <c r="AO247" i="1"/>
  <c r="AN261" i="1"/>
  <c r="AO264" i="1"/>
  <c r="O266" i="1"/>
  <c r="O261" i="1" s="1"/>
  <c r="Q271" i="1"/>
  <c r="AO272" i="1"/>
  <c r="AP272" i="1" s="1"/>
  <c r="AT273" i="1"/>
  <c r="AM273" i="1"/>
  <c r="AV273" i="1"/>
  <c r="AW273" i="1" s="1"/>
  <c r="AO283" i="1"/>
  <c r="P284" i="1"/>
  <c r="Q285" i="1"/>
  <c r="Q282" i="1"/>
  <c r="AJ285" i="1"/>
  <c r="AJ282" i="1"/>
  <c r="AL288" i="1"/>
  <c r="AV287" i="1"/>
  <c r="AW287" i="1" s="1"/>
  <c r="AO287" i="1"/>
  <c r="AT287" i="1"/>
  <c r="AM287" i="1"/>
  <c r="AO289" i="1"/>
  <c r="AP289" i="1" s="1"/>
  <c r="P292" i="1"/>
  <c r="AQ294" i="1"/>
  <c r="AN292" i="1"/>
  <c r="AF302" i="1"/>
  <c r="AD302" i="1"/>
  <c r="AG302" i="1" s="1"/>
  <c r="J321" i="1"/>
  <c r="J324" i="1"/>
  <c r="AD327" i="1"/>
  <c r="AG327" i="1" s="1"/>
  <c r="AF327" i="1"/>
  <c r="AP329" i="1"/>
  <c r="AP330" i="1" s="1"/>
  <c r="AO330" i="1"/>
  <c r="AV349" i="1"/>
  <c r="AW348" i="1"/>
  <c r="AD358" i="1"/>
  <c r="AG358" i="1" s="1"/>
  <c r="AG359" i="1"/>
  <c r="AS359" i="1"/>
  <c r="AM359" i="1"/>
  <c r="AM358" i="1" s="1"/>
  <c r="AL358" i="1"/>
  <c r="P362" i="1"/>
  <c r="N362" i="1" s="1"/>
  <c r="O362" i="1"/>
  <c r="O287" i="1"/>
  <c r="P290" i="1"/>
  <c r="N290" i="1" s="1"/>
  <c r="AO290" i="1"/>
  <c r="AV290" i="1"/>
  <c r="AW290" i="1" s="1"/>
  <c r="AD292" i="1"/>
  <c r="AL292" i="1"/>
  <c r="AR292" i="1" s="1"/>
  <c r="AO294" i="1"/>
  <c r="P301" i="1"/>
  <c r="N301" i="1" s="1"/>
  <c r="AR303" i="1"/>
  <c r="AZ305" i="1"/>
  <c r="AI307" i="1"/>
  <c r="AR307" i="1" s="1"/>
  <c r="AR306" i="1"/>
  <c r="AJ306" i="1"/>
  <c r="AG309" i="1"/>
  <c r="AD304" i="1"/>
  <c r="AO311" i="1"/>
  <c r="AP311" i="1" s="1"/>
  <c r="AO312" i="1"/>
  <c r="BL311" i="1"/>
  <c r="Q319" i="1"/>
  <c r="O318" i="1"/>
  <c r="BL322" i="1"/>
  <c r="AI324" i="1"/>
  <c r="AR324" i="1" s="1"/>
  <c r="AR323" i="1"/>
  <c r="AO326" i="1"/>
  <c r="AT327" i="1"/>
  <c r="AM327" i="1"/>
  <c r="BL331" i="1"/>
  <c r="AO332" i="1"/>
  <c r="AZ331" i="1"/>
  <c r="AO340" i="1"/>
  <c r="AP340" i="1" s="1"/>
  <c r="AO341" i="1"/>
  <c r="BL340" i="1"/>
  <c r="N346" i="1"/>
  <c r="J343" i="1"/>
  <c r="J119" i="1" s="1"/>
  <c r="J13" i="1" s="1"/>
  <c r="J9" i="1" s="1"/>
  <c r="AH343" i="1"/>
  <c r="F343" i="1"/>
  <c r="F119" i="1" s="1"/>
  <c r="F13" i="1" s="1"/>
  <c r="F9" i="1" s="1"/>
  <c r="AZ396" i="1"/>
  <c r="AM396" i="1"/>
  <c r="AO396" i="1"/>
  <c r="AP396" i="1" s="1"/>
  <c r="AV396" i="1"/>
  <c r="AW396" i="1" s="1"/>
  <c r="Q299" i="1"/>
  <c r="P298" i="1"/>
  <c r="N298" i="1" s="1"/>
  <c r="AO305" i="1"/>
  <c r="AV304" i="1"/>
  <c r="AW306" i="1"/>
  <c r="AW304" i="1" s="1"/>
  <c r="AO315" i="1"/>
  <c r="P322" i="1"/>
  <c r="O322" i="1"/>
  <c r="O320" i="1" s="1"/>
  <c r="AZ325" i="1"/>
  <c r="AY322" i="1"/>
  <c r="AY320" i="1" s="1"/>
  <c r="AJ322" i="1"/>
  <c r="AJ320" i="1" s="1"/>
  <c r="AO322" i="1"/>
  <c r="E324" i="1"/>
  <c r="F323" i="1"/>
  <c r="E321" i="1"/>
  <c r="Q323" i="1"/>
  <c r="BL328" i="1"/>
  <c r="AO331" i="1"/>
  <c r="AP331" i="1" s="1"/>
  <c r="AO334" i="1"/>
  <c r="AP334" i="1" s="1"/>
  <c r="AO335" i="1"/>
  <c r="AO337" i="1"/>
  <c r="AP337" i="1" s="1"/>
  <c r="AV339" i="1"/>
  <c r="AW339" i="1" s="1"/>
  <c r="AM339" i="1"/>
  <c r="AO350" i="1"/>
  <c r="AP349" i="1"/>
  <c r="AP350" i="1" s="1"/>
  <c r="Q356" i="1"/>
  <c r="O355" i="1"/>
  <c r="P355" i="1"/>
  <c r="N355" i="1" s="1"/>
  <c r="P370" i="1"/>
  <c r="N370" i="1" s="1"/>
  <c r="O370" i="1"/>
  <c r="Q371" i="1"/>
  <c r="AM294" i="1"/>
  <c r="AM292" i="1" s="1"/>
  <c r="AL296" i="1"/>
  <c r="AV295" i="1"/>
  <c r="AO295" i="1"/>
  <c r="AT295" i="1"/>
  <c r="AT293" i="1" s="1"/>
  <c r="AR296" i="1"/>
  <c r="AT299" i="1"/>
  <c r="AM299" i="1"/>
  <c r="AV299" i="1"/>
  <c r="AW299" i="1" s="1"/>
  <c r="AT302" i="1"/>
  <c r="AM303" i="1"/>
  <c r="J307" i="1"/>
  <c r="J304" i="1"/>
  <c r="AV307" i="1"/>
  <c r="AW307" i="1" s="1"/>
  <c r="AT307" i="1"/>
  <c r="AM307" i="1"/>
  <c r="AQ308" i="1"/>
  <c r="AN303" i="1"/>
  <c r="Q313" i="1"/>
  <c r="O312" i="1"/>
  <c r="BL314" i="1"/>
  <c r="AO317" i="1"/>
  <c r="AP317" i="1" s="1"/>
  <c r="AO318" i="1"/>
  <c r="BL317" i="1"/>
  <c r="Q320" i="1"/>
  <c r="AI320" i="1"/>
  <c r="AR320" i="1" s="1"/>
  <c r="AG320" i="1"/>
  <c r="AR322" i="1"/>
  <c r="AG321" i="1"/>
  <c r="AW323" i="1"/>
  <c r="AW321" i="1" s="1"/>
  <c r="O327" i="1"/>
  <c r="P327" i="1"/>
  <c r="N327" i="1" s="1"/>
  <c r="AO328" i="1"/>
  <c r="AP328" i="1" s="1"/>
  <c r="AZ337" i="1"/>
  <c r="AV347" i="1"/>
  <c r="AW347" i="1" s="1"/>
  <c r="AW346" i="1"/>
  <c r="AF347" i="1"/>
  <c r="AD347" i="1"/>
  <c r="AG347" i="1" s="1"/>
  <c r="AC346" i="1"/>
  <c r="AZ340" i="1"/>
  <c r="Q342" i="1"/>
  <c r="O341" i="1"/>
  <c r="O346" i="1"/>
  <c r="Q344" i="1"/>
  <c r="AV352" i="1"/>
  <c r="P353" i="1"/>
  <c r="N353" i="1" s="1"/>
  <c r="O353" i="1"/>
  <c r="AF356" i="1"/>
  <c r="AC355" i="1"/>
  <c r="AF373" i="1"/>
  <c r="AD373" i="1"/>
  <c r="AG373" i="1" s="1"/>
  <c r="P391" i="1"/>
  <c r="N391" i="1" s="1"/>
  <c r="O391" i="1"/>
  <c r="Q392" i="1"/>
  <c r="AR305" i="1"/>
  <c r="BL305" i="1"/>
  <c r="AZ308" i="1"/>
  <c r="AZ314" i="1"/>
  <c r="BL325" i="1"/>
  <c r="AT330" i="1"/>
  <c r="AT333" i="1"/>
  <c r="AM333" i="1"/>
  <c r="AV333" i="1"/>
  <c r="AW333" i="1" s="1"/>
  <c r="AO338" i="1"/>
  <c r="BL337" i="1"/>
  <c r="I347" i="1"/>
  <c r="J347" i="1" s="1"/>
  <c r="N348" i="1"/>
  <c r="P343" i="1"/>
  <c r="P349" i="1"/>
  <c r="N349" i="1" s="1"/>
  <c r="Q350" i="1"/>
  <c r="O349" i="1"/>
  <c r="AO352" i="1"/>
  <c r="AF353" i="1"/>
  <c r="AC352" i="1"/>
  <c r="AD353" i="1"/>
  <c r="AG353" i="1" s="1"/>
  <c r="AO356" i="1"/>
  <c r="AP355" i="1"/>
  <c r="AP356" i="1" s="1"/>
  <c r="AV357" i="1"/>
  <c r="AS368" i="1"/>
  <c r="AM368" i="1"/>
  <c r="AP379" i="1"/>
  <c r="AP380" i="1" s="1"/>
  <c r="AO380" i="1"/>
  <c r="O380" i="1"/>
  <c r="P380" i="1"/>
  <c r="N380" i="1" s="1"/>
  <c r="AV401" i="1"/>
  <c r="AW401" i="1" s="1"/>
  <c r="AW400" i="1"/>
  <c r="AM310" i="1"/>
  <c r="AM316" i="1"/>
  <c r="AM323" i="1"/>
  <c r="AM321" i="1" s="1"/>
  <c r="AO325" i="1"/>
  <c r="AP325" i="1" s="1"/>
  <c r="Q330" i="1"/>
  <c r="O329" i="1"/>
  <c r="AM330" i="1"/>
  <c r="Q336" i="1"/>
  <c r="AD339" i="1"/>
  <c r="AG339" i="1" s="1"/>
  <c r="J346" i="1"/>
  <c r="J344" i="1" s="1"/>
  <c r="Q347" i="1"/>
  <c r="AD348" i="1"/>
  <c r="AC343" i="1"/>
  <c r="AC119" i="1" s="1"/>
  <c r="AC13" i="1" s="1"/>
  <c r="AC9" i="1" s="1"/>
  <c r="AF349" i="1"/>
  <c r="AD349" i="1"/>
  <c r="AG349" i="1" s="1"/>
  <c r="AJ350" i="1"/>
  <c r="AM352" i="1"/>
  <c r="AV354" i="1"/>
  <c r="Q358" i="1"/>
  <c r="AP361" i="1"/>
  <c r="AP362" i="1" s="1"/>
  <c r="O365" i="1"/>
  <c r="AL367" i="1"/>
  <c r="AO377" i="1"/>
  <c r="AP376" i="1"/>
  <c r="AP377" i="1" s="1"/>
  <c r="AF379" i="1"/>
  <c r="AD379" i="1"/>
  <c r="AG379" i="1" s="1"/>
  <c r="AR385" i="1"/>
  <c r="AR386" i="1" s="1"/>
  <c r="AQ384" i="1"/>
  <c r="AV406" i="1"/>
  <c r="AO406" i="1"/>
  <c r="AT406" i="1"/>
  <c r="AM406" i="1"/>
  <c r="AR406" i="1"/>
  <c r="AR407" i="1" s="1"/>
  <c r="Q368" i="1"/>
  <c r="AO370" i="1"/>
  <c r="AV371" i="1"/>
  <c r="AW371" i="1" s="1"/>
  <c r="AS374" i="1"/>
  <c r="AM374" i="1"/>
  <c r="AO382" i="1"/>
  <c r="AT382" i="1"/>
  <c r="AM382" i="1"/>
  <c r="AV384" i="1"/>
  <c r="AF385" i="1"/>
  <c r="AD385" i="1"/>
  <c r="AG385" i="1" s="1"/>
  <c r="AO388" i="1"/>
  <c r="AT388" i="1"/>
  <c r="AM388" i="1"/>
  <c r="AV390" i="1"/>
  <c r="AF391" i="1"/>
  <c r="AD391" i="1"/>
  <c r="AG391" i="1" s="1"/>
  <c r="AT392" i="1"/>
  <c r="AM392" i="1"/>
  <c r="AM391" i="1" s="1"/>
  <c r="AV398" i="1"/>
  <c r="AW398" i="1" s="1"/>
  <c r="AW397" i="1"/>
  <c r="BF402" i="1"/>
  <c r="P406" i="1"/>
  <c r="N406" i="1" s="1"/>
  <c r="O406" i="1"/>
  <c r="Q407" i="1"/>
  <c r="AM361" i="1"/>
  <c r="AS361" i="1"/>
  <c r="AM362" i="1"/>
  <c r="AM364" i="1"/>
  <c r="AS364" i="1"/>
  <c r="AM365" i="1"/>
  <c r="AD370" i="1"/>
  <c r="AG370" i="1" s="1"/>
  <c r="AD371" i="1"/>
  <c r="AG371" i="1" s="1"/>
  <c r="P373" i="1"/>
  <c r="N373" i="1" s="1"/>
  <c r="AL373" i="1"/>
  <c r="O374" i="1"/>
  <c r="F379" i="1"/>
  <c r="F344" i="1" s="1"/>
  <c r="E380" i="1"/>
  <c r="F380" i="1" s="1"/>
  <c r="AV378" i="1"/>
  <c r="N378" i="1"/>
  <c r="AO405" i="1"/>
  <c r="AP405" i="1" s="1"/>
  <c r="BF399" i="1"/>
  <c r="AR399" i="1"/>
  <c r="AR396" i="1"/>
  <c r="AZ393" i="1"/>
  <c r="AR393" i="1"/>
  <c r="BF405" i="1"/>
  <c r="AR405" i="1"/>
  <c r="AO402" i="1"/>
  <c r="AP402" i="1" s="1"/>
  <c r="AO408" i="1"/>
  <c r="AP408" i="1" s="1"/>
  <c r="AZ405" i="1"/>
  <c r="AZ402" i="1"/>
  <c r="BF396" i="1"/>
  <c r="BF343" i="1" s="1"/>
  <c r="BL378" i="1"/>
  <c r="BL390" i="1"/>
  <c r="BL387" i="1"/>
  <c r="AO387" i="1"/>
  <c r="AP387" i="1" s="1"/>
  <c r="BL384" i="1"/>
  <c r="BL381" i="1"/>
  <c r="AO381" i="1"/>
  <c r="AP381" i="1" s="1"/>
  <c r="AR378" i="1"/>
  <c r="AJ378" i="1"/>
  <c r="AJ343" i="1" s="1"/>
  <c r="AR403" i="1"/>
  <c r="AR404" i="1" s="1"/>
  <c r="AR397" i="1"/>
  <c r="AR398" i="1" s="1"/>
  <c r="AR409" i="1"/>
  <c r="AR410" i="1" s="1"/>
  <c r="AR400" i="1"/>
  <c r="AR401" i="1" s="1"/>
  <c r="AR379" i="1"/>
  <c r="AR380" i="1" s="1"/>
  <c r="AJ379" i="1"/>
  <c r="AJ344" i="1" s="1"/>
  <c r="AI380" i="1"/>
  <c r="AJ380" i="1" s="1"/>
  <c r="AZ381" i="1"/>
  <c r="P382" i="1"/>
  <c r="N382" i="1" s="1"/>
  <c r="Q383" i="1"/>
  <c r="O382" i="1"/>
  <c r="AR384" i="1"/>
  <c r="AZ387" i="1"/>
  <c r="AV387" i="1" s="1"/>
  <c r="P388" i="1"/>
  <c r="N388" i="1" s="1"/>
  <c r="Q389" i="1"/>
  <c r="O388" i="1"/>
  <c r="AR390" i="1"/>
  <c r="AO397" i="1"/>
  <c r="AO400" i="1"/>
  <c r="AR402" i="1"/>
  <c r="J411" i="1"/>
  <c r="AO364" i="1"/>
  <c r="P379" i="1"/>
  <c r="N379" i="1" s="1"/>
  <c r="O379" i="1"/>
  <c r="AV381" i="1"/>
  <c r="AF382" i="1"/>
  <c r="AD382" i="1"/>
  <c r="AG382" i="1" s="1"/>
  <c r="AR382" i="1"/>
  <c r="AR383" i="1" s="1"/>
  <c r="AO385" i="1"/>
  <c r="AT385" i="1"/>
  <c r="AM385" i="1"/>
  <c r="AF388" i="1"/>
  <c r="AD388" i="1"/>
  <c r="AG388" i="1" s="1"/>
  <c r="AR388" i="1"/>
  <c r="AR389" i="1" s="1"/>
  <c r="AX393" i="1"/>
  <c r="AL391" i="1"/>
  <c r="AL394" i="1"/>
  <c r="AR394" i="1" s="1"/>
  <c r="AR395" i="1" s="1"/>
  <c r="AM395" i="1"/>
  <c r="AZ399" i="1"/>
  <c r="AM399" i="1"/>
  <c r="AM343" i="1" s="1"/>
  <c r="AO399" i="1"/>
  <c r="AP399" i="1" s="1"/>
  <c r="BL408" i="1"/>
  <c r="AO409" i="1"/>
  <c r="J413" i="1"/>
  <c r="J412" i="1"/>
  <c r="AS376" i="1"/>
  <c r="P395" i="1"/>
  <c r="N395" i="1" s="1"/>
  <c r="O395" i="1"/>
  <c r="Q401" i="1"/>
  <c r="O400" i="1"/>
  <c r="BW411" i="1"/>
  <c r="BX411" i="1" s="1"/>
  <c r="AM383" i="1"/>
  <c r="AM386" i="1"/>
  <c r="AM389" i="1"/>
  <c r="P398" i="1"/>
  <c r="N398" i="1" s="1"/>
  <c r="O398" i="1"/>
  <c r="AM398" i="1"/>
  <c r="P404" i="1"/>
  <c r="N404" i="1" s="1"/>
  <c r="O404" i="1"/>
  <c r="AM404" i="1"/>
  <c r="AZ408" i="1"/>
  <c r="AZ412" i="1"/>
  <c r="BE413" i="1"/>
  <c r="BP413" i="1"/>
  <c r="AF411" i="1"/>
  <c r="T413" i="1"/>
  <c r="T11" i="1" s="1"/>
  <c r="T10" i="1" s="1"/>
  <c r="T412" i="1"/>
  <c r="Z413" i="1"/>
  <c r="Z11" i="1" s="1"/>
  <c r="Z10" i="1" s="1"/>
  <c r="Z412" i="1"/>
  <c r="AP426" i="1"/>
  <c r="AP416" i="1" s="1"/>
  <c r="AP414" i="1" s="1"/>
  <c r="AP411" i="1" s="1"/>
  <c r="AM416" i="1"/>
  <c r="AM414" i="1" s="1"/>
  <c r="AM411" i="1" s="1"/>
  <c r="N427" i="1"/>
  <c r="O427" i="1" s="1"/>
  <c r="Q427" i="1"/>
  <c r="Q417" i="1" s="1"/>
  <c r="Q415" i="1" s="1"/>
  <c r="AV427" i="1"/>
  <c r="AW427" i="1" s="1"/>
  <c r="P409" i="1"/>
  <c r="P410" i="1" s="1"/>
  <c r="AG421" i="1"/>
  <c r="AM407" i="1"/>
  <c r="AV417" i="1"/>
  <c r="AV415" i="1" s="1"/>
  <c r="AW419" i="1"/>
  <c r="AG432" i="1"/>
  <c r="AG430" i="1" s="1"/>
  <c r="AM408" i="1"/>
  <c r="AM409" i="1"/>
  <c r="AM410" i="1"/>
  <c r="AF413" i="1"/>
  <c r="AG419" i="1"/>
  <c r="AG417" i="1" s="1"/>
  <c r="AG415" i="1" s="1"/>
  <c r="AP419" i="1"/>
  <c r="AP417" i="1" s="1"/>
  <c r="AP415" i="1" s="1"/>
  <c r="AM417" i="1"/>
  <c r="AM415" i="1" s="1"/>
  <c r="AG428" i="1"/>
  <c r="AG429" i="1"/>
  <c r="P417" i="1"/>
  <c r="P415" i="1" s="1"/>
  <c r="AA417" i="1"/>
  <c r="AA415" i="1" s="1"/>
  <c r="N429" i="1"/>
  <c r="O429" i="1" s="1"/>
  <c r="O417" i="1" s="1"/>
  <c r="O415" i="1" s="1"/>
  <c r="O412" i="1" l="1"/>
  <c r="O413" i="1"/>
  <c r="AP128" i="1"/>
  <c r="AO245" i="1"/>
  <c r="AP244" i="1"/>
  <c r="AP245" i="1" s="1"/>
  <c r="BC13" i="1"/>
  <c r="BC9" i="1" s="1"/>
  <c r="BW103" i="1"/>
  <c r="BX103" i="1" s="1"/>
  <c r="BP14" i="1"/>
  <c r="BP11" i="1"/>
  <c r="BP10" i="1" s="1"/>
  <c r="Q413" i="1"/>
  <c r="Q412" i="1"/>
  <c r="AV388" i="1"/>
  <c r="AW387" i="1"/>
  <c r="AG412" i="1"/>
  <c r="AG413" i="1"/>
  <c r="AO365" i="1"/>
  <c r="AP364" i="1"/>
  <c r="AP365" i="1" s="1"/>
  <c r="AV385" i="1"/>
  <c r="AW384" i="1"/>
  <c r="O368" i="1"/>
  <c r="P368" i="1"/>
  <c r="N368" i="1" s="1"/>
  <c r="AW354" i="1"/>
  <c r="AV355" i="1"/>
  <c r="AV353" i="1"/>
  <c r="AW353" i="1" s="1"/>
  <c r="AW352" i="1"/>
  <c r="P323" i="1"/>
  <c r="O323" i="1"/>
  <c r="O321" i="1" s="1"/>
  <c r="Q324" i="1"/>
  <c r="Q321" i="1"/>
  <c r="P299" i="1"/>
  <c r="N299" i="1" s="1"/>
  <c r="O299" i="1"/>
  <c r="AP341" i="1"/>
  <c r="AP342" i="1" s="1"/>
  <c r="AO342" i="1"/>
  <c r="P319" i="1"/>
  <c r="N319" i="1" s="1"/>
  <c r="O319" i="1"/>
  <c r="AP294" i="1"/>
  <c r="AP292" i="1" s="1"/>
  <c r="AO292" i="1"/>
  <c r="AO321" i="1"/>
  <c r="AO265" i="1"/>
  <c r="AP264" i="1"/>
  <c r="AP265" i="1" s="1"/>
  <c r="AO223" i="1"/>
  <c r="AP222" i="1"/>
  <c r="AP223" i="1" s="1"/>
  <c r="AP378" i="1"/>
  <c r="O254" i="1"/>
  <c r="P254" i="1"/>
  <c r="N254" i="1" s="1"/>
  <c r="O237" i="1"/>
  <c r="P237" i="1"/>
  <c r="N237" i="1" s="1"/>
  <c r="BF204" i="1"/>
  <c r="BF119" i="1" s="1"/>
  <c r="BF13" i="1" s="1"/>
  <c r="BF9" i="1" s="1"/>
  <c r="AO140" i="1"/>
  <c r="AP139" i="1"/>
  <c r="AP140" i="1" s="1"/>
  <c r="P240" i="1"/>
  <c r="N240" i="1" s="1"/>
  <c r="O240" i="1"/>
  <c r="AD105" i="1"/>
  <c r="AG118" i="1"/>
  <c r="AO237" i="1"/>
  <c r="AP236" i="1"/>
  <c r="AO234" i="1"/>
  <c r="BF212" i="1"/>
  <c r="AQ204" i="1"/>
  <c r="AO212" i="1"/>
  <c r="AP212" i="1" s="1"/>
  <c r="Q106" i="1"/>
  <c r="Q16" i="1" s="1"/>
  <c r="Q12" i="1" s="1"/>
  <c r="P115" i="1"/>
  <c r="P106" i="1" s="1"/>
  <c r="P16" i="1" s="1"/>
  <c r="P12" i="1" s="1"/>
  <c r="AF157" i="1"/>
  <c r="AD157" i="1"/>
  <c r="AG157" i="1" s="1"/>
  <c r="AV244" i="1"/>
  <c r="P242" i="1"/>
  <c r="N244" i="1"/>
  <c r="AV159" i="1"/>
  <c r="N159" i="1"/>
  <c r="AF104" i="1"/>
  <c r="AG107" i="1"/>
  <c r="AG103" i="1" s="1"/>
  <c r="AG13" i="1" s="1"/>
  <c r="AG9" i="1" s="1"/>
  <c r="AA103" i="1"/>
  <c r="AA13" i="1" s="1"/>
  <c r="AA9" i="1" s="1"/>
  <c r="P22" i="1"/>
  <c r="P19" i="1" s="1"/>
  <c r="N19" i="1"/>
  <c r="P29" i="1"/>
  <c r="AP352" i="1"/>
  <c r="AO353" i="1"/>
  <c r="AP283" i="1"/>
  <c r="AP281" i="1" s="1"/>
  <c r="AO281" i="1"/>
  <c r="P154" i="1"/>
  <c r="AV156" i="1"/>
  <c r="N156" i="1"/>
  <c r="N86" i="1"/>
  <c r="P86" i="1" s="1"/>
  <c r="P85" i="1"/>
  <c r="P25" i="1" s="1"/>
  <c r="AV214" i="1"/>
  <c r="AW214" i="1" s="1"/>
  <c r="AW213" i="1"/>
  <c r="AO213" i="1"/>
  <c r="P100" i="1"/>
  <c r="N101" i="1"/>
  <c r="P101" i="1" s="1"/>
  <c r="P189" i="1"/>
  <c r="N189" i="1" s="1"/>
  <c r="O189" i="1"/>
  <c r="AD166" i="1"/>
  <c r="AG166" i="1" s="1"/>
  <c r="AF166" i="1"/>
  <c r="O119" i="1"/>
  <c r="O13" i="1" s="1"/>
  <c r="O9" i="1" s="1"/>
  <c r="AP185" i="1"/>
  <c r="AP186" i="1" s="1"/>
  <c r="AO186" i="1"/>
  <c r="J157" i="1"/>
  <c r="J154" i="1"/>
  <c r="AI13" i="1"/>
  <c r="AR119" i="1"/>
  <c r="AL119" i="1"/>
  <c r="BH14" i="1"/>
  <c r="BH11" i="1"/>
  <c r="BH10" i="1" s="1"/>
  <c r="AS146" i="1"/>
  <c r="AM146" i="1"/>
  <c r="AV146" i="1"/>
  <c r="AW146" i="1" s="1"/>
  <c r="AV127" i="1"/>
  <c r="AW132" i="1"/>
  <c r="AW127" i="1" s="1"/>
  <c r="AV138" i="1"/>
  <c r="AW138" i="1" s="1"/>
  <c r="AV140" i="1"/>
  <c r="AW140" i="1" s="1"/>
  <c r="AW139" i="1"/>
  <c r="U107" i="1"/>
  <c r="U103" i="1" s="1"/>
  <c r="U13" i="1" s="1"/>
  <c r="U9" i="1" s="1"/>
  <c r="T103" i="1"/>
  <c r="T13" i="1" s="1"/>
  <c r="T9" i="1" s="1"/>
  <c r="N95" i="1"/>
  <c r="P95" i="1" s="1"/>
  <c r="P94" i="1"/>
  <c r="F85" i="1"/>
  <c r="J86" i="1"/>
  <c r="F86" i="1" s="1"/>
  <c r="E44" i="1"/>
  <c r="J44" i="1"/>
  <c r="I26" i="1"/>
  <c r="F265" i="1"/>
  <c r="E264" i="1"/>
  <c r="AG156" i="1"/>
  <c r="AG154" i="1" s="1"/>
  <c r="AD154" i="1"/>
  <c r="I120" i="1"/>
  <c r="I121" i="1" s="1"/>
  <c r="I15" i="1" s="1"/>
  <c r="AP208" i="1"/>
  <c r="F200" i="1"/>
  <c r="F197" i="1"/>
  <c r="AO203" i="1"/>
  <c r="AP202" i="1"/>
  <c r="AP203" i="1" s="1"/>
  <c r="AU14" i="1"/>
  <c r="AU11" i="1"/>
  <c r="AU10" i="1" s="1"/>
  <c r="AP118" i="1"/>
  <c r="AP105" i="1" s="1"/>
  <c r="AM105" i="1"/>
  <c r="I104" i="1"/>
  <c r="AW101" i="1"/>
  <c r="AP101" i="1"/>
  <c r="O105" i="1"/>
  <c r="AV413" i="1"/>
  <c r="AV412" i="1"/>
  <c r="AM394" i="1"/>
  <c r="AO394" i="1"/>
  <c r="AT394" i="1"/>
  <c r="AO398" i="1"/>
  <c r="AP397" i="1"/>
  <c r="AP398" i="1" s="1"/>
  <c r="O383" i="1"/>
  <c r="P383" i="1"/>
  <c r="N383" i="1" s="1"/>
  <c r="O407" i="1"/>
  <c r="P407" i="1"/>
  <c r="N407" i="1" s="1"/>
  <c r="AO407" i="1"/>
  <c r="AP406" i="1"/>
  <c r="AP407" i="1" s="1"/>
  <c r="AV367" i="1"/>
  <c r="AO367" i="1"/>
  <c r="AS367" i="1"/>
  <c r="AM367" i="1"/>
  <c r="AM344" i="1" s="1"/>
  <c r="P350" i="1"/>
  <c r="N350" i="1" s="1"/>
  <c r="O350" i="1"/>
  <c r="AD355" i="1"/>
  <c r="AG355" i="1" s="1"/>
  <c r="AF355" i="1"/>
  <c r="AD346" i="1"/>
  <c r="AF346" i="1"/>
  <c r="AF344" i="1" s="1"/>
  <c r="AC344" i="1"/>
  <c r="AC120" i="1" s="1"/>
  <c r="AC121" i="1" s="1"/>
  <c r="AC15" i="1" s="1"/>
  <c r="BL308" i="1"/>
  <c r="AO308" i="1"/>
  <c r="AP308" i="1" s="1"/>
  <c r="AO309" i="1"/>
  <c r="AO336" i="1"/>
  <c r="AP335" i="1"/>
  <c r="AP336" i="1" s="1"/>
  <c r="AP322" i="1"/>
  <c r="AP320" i="1" s="1"/>
  <c r="AO320" i="1"/>
  <c r="AO291" i="1"/>
  <c r="AP290" i="1"/>
  <c r="AP291" i="1" s="1"/>
  <c r="AY294" i="1"/>
  <c r="AY292" i="1" s="1"/>
  <c r="AY119" i="1" s="1"/>
  <c r="AQ292" i="1"/>
  <c r="N284" i="1"/>
  <c r="N282" i="1" s="1"/>
  <c r="P282" i="1"/>
  <c r="F296" i="1"/>
  <c r="F293" i="1"/>
  <c r="P251" i="1"/>
  <c r="N251" i="1" s="1"/>
  <c r="O251" i="1"/>
  <c r="F237" i="1"/>
  <c r="F234" i="1"/>
  <c r="AT223" i="1"/>
  <c r="AM223" i="1"/>
  <c r="AV223" i="1"/>
  <c r="AW223" i="1" s="1"/>
  <c r="P217" i="1"/>
  <c r="N217" i="1" s="1"/>
  <c r="O217" i="1"/>
  <c r="P267" i="1"/>
  <c r="O267" i="1"/>
  <c r="O262" i="1" s="1"/>
  <c r="AT257" i="1"/>
  <c r="AM257" i="1"/>
  <c r="AV257" i="1"/>
  <c r="AW257" i="1" s="1"/>
  <c r="AP168" i="1"/>
  <c r="AP169" i="1" s="1"/>
  <c r="AO169" i="1"/>
  <c r="O220" i="1"/>
  <c r="P220" i="1"/>
  <c r="N220" i="1" s="1"/>
  <c r="J104" i="1"/>
  <c r="O306" i="1"/>
  <c r="O304" i="1" s="1"/>
  <c r="Q307" i="1"/>
  <c r="Q304" i="1"/>
  <c r="P306" i="1"/>
  <c r="AP154" i="1"/>
  <c r="AV93" i="1"/>
  <c r="AL93" i="1"/>
  <c r="AO386" i="1"/>
  <c r="AP385" i="1"/>
  <c r="AP386" i="1" s="1"/>
  <c r="AP388" i="1"/>
  <c r="AP389" i="1" s="1"/>
  <c r="AO389" i="1"/>
  <c r="AV407" i="1"/>
  <c r="AW407" i="1" s="1"/>
  <c r="AW406" i="1"/>
  <c r="AO339" i="1"/>
  <c r="AP338" i="1"/>
  <c r="AP339" i="1" s="1"/>
  <c r="AO296" i="1"/>
  <c r="AP295" i="1"/>
  <c r="AO293" i="1"/>
  <c r="P320" i="1"/>
  <c r="N322" i="1"/>
  <c r="N320" i="1" s="1"/>
  <c r="AQ303" i="1"/>
  <c r="AO358" i="1"/>
  <c r="AS358" i="1"/>
  <c r="AV350" i="1"/>
  <c r="AW350" i="1" s="1"/>
  <c r="AW349" i="1"/>
  <c r="AP287" i="1"/>
  <c r="AP288" i="1" s="1"/>
  <c r="AO288" i="1"/>
  <c r="AV264" i="1"/>
  <c r="N264" i="1"/>
  <c r="P262" i="1"/>
  <c r="AM241" i="1"/>
  <c r="AP241" i="1" s="1"/>
  <c r="AT205" i="1"/>
  <c r="BL243" i="1"/>
  <c r="BL241" i="1" s="1"/>
  <c r="AQ241" i="1"/>
  <c r="P104" i="1"/>
  <c r="N305" i="1"/>
  <c r="N303" i="1" s="1"/>
  <c r="P303" i="1"/>
  <c r="AM242" i="1"/>
  <c r="AO211" i="1"/>
  <c r="AP210" i="1"/>
  <c r="AP211" i="1" s="1"/>
  <c r="J177" i="1"/>
  <c r="J180" i="1"/>
  <c r="AP284" i="1"/>
  <c r="AO282" i="1"/>
  <c r="AO285" i="1"/>
  <c r="AP197" i="1"/>
  <c r="AP200" i="1"/>
  <c r="AM412" i="1"/>
  <c r="AM413" i="1"/>
  <c r="AQ393" i="1"/>
  <c r="AV379" i="1"/>
  <c r="AW378" i="1"/>
  <c r="AS373" i="1"/>
  <c r="AM373" i="1"/>
  <c r="AO373" i="1"/>
  <c r="AV373" i="1"/>
  <c r="AV391" i="1"/>
  <c r="AW390" i="1"/>
  <c r="AV393" i="1"/>
  <c r="AW393" i="1" s="1"/>
  <c r="AT344" i="1"/>
  <c r="AT120" i="1" s="1"/>
  <c r="AT121" i="1" s="1"/>
  <c r="AT15" i="1" s="1"/>
  <c r="AG348" i="1"/>
  <c r="AG343" i="1" s="1"/>
  <c r="AG119" i="1" s="1"/>
  <c r="AD343" i="1"/>
  <c r="AD119" i="1" s="1"/>
  <c r="AD13" i="1" s="1"/>
  <c r="AD9" i="1" s="1"/>
  <c r="P330" i="1"/>
  <c r="N330" i="1" s="1"/>
  <c r="O330" i="1"/>
  <c r="AL344" i="1"/>
  <c r="O342" i="1"/>
  <c r="P342" i="1"/>
  <c r="N342" i="1" s="1"/>
  <c r="AP318" i="1"/>
  <c r="AP319" i="1" s="1"/>
  <c r="AO319" i="1"/>
  <c r="P313" i="1"/>
  <c r="N313" i="1" s="1"/>
  <c r="O313" i="1"/>
  <c r="AV293" i="1"/>
  <c r="AW295" i="1"/>
  <c r="AW293" i="1" s="1"/>
  <c r="P356" i="1"/>
  <c r="N356" i="1" s="1"/>
  <c r="O356" i="1"/>
  <c r="F324" i="1"/>
  <c r="F321" i="1"/>
  <c r="AP315" i="1"/>
  <c r="AP316" i="1" s="1"/>
  <c r="AO316" i="1"/>
  <c r="AP305" i="1"/>
  <c r="AP303" i="1" s="1"/>
  <c r="AO303" i="1"/>
  <c r="N344" i="1"/>
  <c r="BL320" i="1"/>
  <c r="AP312" i="1"/>
  <c r="AP313" i="1" s="1"/>
  <c r="AO313" i="1"/>
  <c r="AJ304" i="1"/>
  <c r="AJ307" i="1"/>
  <c r="P271" i="1"/>
  <c r="N271" i="1" s="1"/>
  <c r="O271" i="1"/>
  <c r="F284" i="1"/>
  <c r="E285" i="1"/>
  <c r="E282" i="1"/>
  <c r="AZ204" i="1"/>
  <c r="AP324" i="1"/>
  <c r="AP321" i="1"/>
  <c r="P309" i="1"/>
  <c r="N309" i="1" s="1"/>
  <c r="Q310" i="1"/>
  <c r="O309" i="1"/>
  <c r="AZ261" i="1"/>
  <c r="AO243" i="1"/>
  <c r="AP243" i="1" s="1"/>
  <c r="AP256" i="1"/>
  <c r="AP257" i="1" s="1"/>
  <c r="AO257" i="1"/>
  <c r="AV234" i="1"/>
  <c r="N236" i="1"/>
  <c r="N234" i="1" s="1"/>
  <c r="P234" i="1"/>
  <c r="AM103" i="1"/>
  <c r="AM86" i="1"/>
  <c r="AP85" i="1"/>
  <c r="AP25" i="1" s="1"/>
  <c r="AM25" i="1"/>
  <c r="AJ237" i="1"/>
  <c r="AJ234" i="1"/>
  <c r="AV182" i="1"/>
  <c r="N182" i="1"/>
  <c r="P131" i="1"/>
  <c r="N131" i="1" s="1"/>
  <c r="O131" i="1"/>
  <c r="X105" i="1"/>
  <c r="AG109" i="1"/>
  <c r="AG105" i="1" s="1"/>
  <c r="N89" i="1"/>
  <c r="P89" i="1" s="1"/>
  <c r="P88" i="1"/>
  <c r="O303" i="1"/>
  <c r="P232" i="1"/>
  <c r="N232" i="1" s="1"/>
  <c r="O232" i="1"/>
  <c r="AO220" i="1"/>
  <c r="AP219" i="1"/>
  <c r="AP220" i="1" s="1"/>
  <c r="BL204" i="1"/>
  <c r="AJ177" i="1"/>
  <c r="AW115" i="1"/>
  <c r="AW106" i="1" s="1"/>
  <c r="AW16" i="1" s="1"/>
  <c r="AW12" i="1" s="1"/>
  <c r="AV106" i="1"/>
  <c r="AV16" i="1" s="1"/>
  <c r="AV12" i="1" s="1"/>
  <c r="AW284" i="1"/>
  <c r="AW282" i="1" s="1"/>
  <c r="AV282" i="1"/>
  <c r="AW246" i="1"/>
  <c r="AV249" i="1"/>
  <c r="AO166" i="1"/>
  <c r="AP165" i="1"/>
  <c r="AP166" i="1" s="1"/>
  <c r="AW130" i="1"/>
  <c r="AW128" i="1" s="1"/>
  <c r="AV128" i="1"/>
  <c r="AV131" i="1"/>
  <c r="AW131" i="1" s="1"/>
  <c r="N115" i="1"/>
  <c r="N106" i="1" s="1"/>
  <c r="N16" i="1" s="1"/>
  <c r="N12" i="1" s="1"/>
  <c r="O106" i="1"/>
  <c r="O16" i="1" s="1"/>
  <c r="O12" i="1" s="1"/>
  <c r="BQ14" i="1"/>
  <c r="BQ11" i="1"/>
  <c r="BQ10" i="1" s="1"/>
  <c r="O202" i="1"/>
  <c r="O197" i="1" s="1"/>
  <c r="Q203" i="1"/>
  <c r="P202" i="1"/>
  <c r="AM186" i="1"/>
  <c r="AM177" i="1"/>
  <c r="AP177" i="1" s="1"/>
  <c r="AP204" i="1"/>
  <c r="BD14" i="1"/>
  <c r="BD11" i="1"/>
  <c r="BD10" i="1" s="1"/>
  <c r="AW105" i="1"/>
  <c r="AO25" i="1"/>
  <c r="P40" i="1"/>
  <c r="N41" i="1"/>
  <c r="P41" i="1" s="1"/>
  <c r="J25" i="1"/>
  <c r="F25" i="1"/>
  <c r="N417" i="1"/>
  <c r="N415" i="1" s="1"/>
  <c r="AN119" i="1"/>
  <c r="AP307" i="1"/>
  <c r="AV269" i="1"/>
  <c r="AF154" i="1"/>
  <c r="J120" i="1"/>
  <c r="J121" i="1" s="1"/>
  <c r="P245" i="1"/>
  <c r="N245" i="1" s="1"/>
  <c r="O245" i="1"/>
  <c r="P196" i="1"/>
  <c r="P119" i="1" s="1"/>
  <c r="P13" i="1" s="1"/>
  <c r="P9" i="1" s="1"/>
  <c r="AW155" i="1"/>
  <c r="AW153" i="1" s="1"/>
  <c r="AV164" i="1"/>
  <c r="AW164" i="1" s="1"/>
  <c r="AV153" i="1"/>
  <c r="AF107" i="1"/>
  <c r="AF103" i="1" s="1"/>
  <c r="AF13" i="1" s="1"/>
  <c r="AF9" i="1" s="1"/>
  <c r="AO96" i="1"/>
  <c r="AM96" i="1"/>
  <c r="AP96" i="1" s="1"/>
  <c r="AR96" i="1"/>
  <c r="BL96" i="1"/>
  <c r="AJ26" i="1"/>
  <c r="O195" i="1"/>
  <c r="P195" i="1"/>
  <c r="N195" i="1" s="1"/>
  <c r="AW85" i="1"/>
  <c r="AV86" i="1"/>
  <c r="AW86" i="1" s="1"/>
  <c r="AJ166" i="1"/>
  <c r="AJ154" i="1"/>
  <c r="AJ120" i="1" s="1"/>
  <c r="AJ121" i="1" s="1"/>
  <c r="AJ15" i="1" s="1"/>
  <c r="BL14" i="1"/>
  <c r="BL11" i="1"/>
  <c r="BL10" i="1" s="1"/>
  <c r="AO177" i="1"/>
  <c r="AO391" i="1"/>
  <c r="AT391" i="1"/>
  <c r="AR391" i="1"/>
  <c r="AR392" i="1" s="1"/>
  <c r="AV382" i="1"/>
  <c r="AW381" i="1"/>
  <c r="BL303" i="1"/>
  <c r="P371" i="1"/>
  <c r="N371" i="1" s="1"/>
  <c r="O371" i="1"/>
  <c r="AZ303" i="1"/>
  <c r="AP235" i="1"/>
  <c r="AP233" i="1" s="1"/>
  <c r="AO233" i="1"/>
  <c r="AW207" i="1"/>
  <c r="AV208" i="1"/>
  <c r="AW208" i="1" s="1"/>
  <c r="P177" i="1"/>
  <c r="AV179" i="1"/>
  <c r="N179" i="1"/>
  <c r="N177" i="1" s="1"/>
  <c r="O277" i="1"/>
  <c r="P277" i="1"/>
  <c r="N277" i="1" s="1"/>
  <c r="P268" i="1"/>
  <c r="N268" i="1" s="1"/>
  <c r="O268" i="1"/>
  <c r="F245" i="1"/>
  <c r="E244" i="1"/>
  <c r="AJ245" i="1"/>
  <c r="AJ242" i="1"/>
  <c r="O211" i="1"/>
  <c r="P211" i="1"/>
  <c r="N211" i="1" s="1"/>
  <c r="AO196" i="1"/>
  <c r="AP198" i="1"/>
  <c r="AP196" i="1" s="1"/>
  <c r="AT282" i="1"/>
  <c r="P67" i="1"/>
  <c r="N68" i="1"/>
  <c r="P68" i="1" s="1"/>
  <c r="AA412" i="1"/>
  <c r="AA413" i="1"/>
  <c r="AA11" i="1" s="1"/>
  <c r="AA10" i="1" s="1"/>
  <c r="AP409" i="1"/>
  <c r="AP410" i="1" s="1"/>
  <c r="AO410" i="1"/>
  <c r="P413" i="1"/>
  <c r="P412" i="1"/>
  <c r="AP413" i="1"/>
  <c r="AP412" i="1"/>
  <c r="AW417" i="1"/>
  <c r="AW415" i="1" s="1"/>
  <c r="P401" i="1"/>
  <c r="N401" i="1" s="1"/>
  <c r="O401" i="1"/>
  <c r="AO401" i="1"/>
  <c r="AP400" i="1"/>
  <c r="AP401" i="1" s="1"/>
  <c r="O389" i="1"/>
  <c r="P389" i="1"/>
  <c r="N389" i="1" s="1"/>
  <c r="AJ119" i="1"/>
  <c r="AJ13" i="1" s="1"/>
  <c r="AJ9" i="1" s="1"/>
  <c r="AO384" i="1"/>
  <c r="AP384" i="1" s="1"/>
  <c r="AP382" i="1"/>
  <c r="AP383" i="1" s="1"/>
  <c r="AO383" i="1"/>
  <c r="AP370" i="1"/>
  <c r="AP371" i="1" s="1"/>
  <c r="AO371" i="1"/>
  <c r="O358" i="1"/>
  <c r="O344" i="1" s="1"/>
  <c r="O120" i="1" s="1"/>
  <c r="O121" i="1" s="1"/>
  <c r="Q359" i="1"/>
  <c r="P358" i="1"/>
  <c r="N358" i="1" s="1"/>
  <c r="P347" i="1"/>
  <c r="N347" i="1" s="1"/>
  <c r="O347" i="1"/>
  <c r="P336" i="1"/>
  <c r="N336" i="1" s="1"/>
  <c r="O336" i="1"/>
  <c r="AV360" i="1"/>
  <c r="AW360" i="1" s="1"/>
  <c r="AV358" i="1"/>
  <c r="AW357" i="1"/>
  <c r="AD352" i="1"/>
  <c r="AG352" i="1" s="1"/>
  <c r="AF352" i="1"/>
  <c r="N343" i="1"/>
  <c r="N119" i="1" s="1"/>
  <c r="N13" i="1" s="1"/>
  <c r="N9" i="1" s="1"/>
  <c r="O392" i="1"/>
  <c r="P392" i="1"/>
  <c r="N392" i="1" s="1"/>
  <c r="AV296" i="1"/>
  <c r="AW296" i="1" s="1"/>
  <c r="AM296" i="1"/>
  <c r="AT296" i="1"/>
  <c r="AZ320" i="1"/>
  <c r="AO333" i="1"/>
  <c r="AP332" i="1"/>
  <c r="AP333" i="1" s="1"/>
  <c r="AO327" i="1"/>
  <c r="AP326" i="1"/>
  <c r="AP327" i="1" s="1"/>
  <c r="AV343" i="1"/>
  <c r="AT288" i="1"/>
  <c r="AM288" i="1"/>
  <c r="AV288" i="1"/>
  <c r="AW288" i="1" s="1"/>
  <c r="O285" i="1"/>
  <c r="P285" i="1"/>
  <c r="N285" i="1" s="1"/>
  <c r="AO248" i="1"/>
  <c r="AP247" i="1"/>
  <c r="AP248" i="1" s="1"/>
  <c r="AO240" i="1"/>
  <c r="AP239" i="1"/>
  <c r="AP240" i="1" s="1"/>
  <c r="P205" i="1"/>
  <c r="P214" i="1"/>
  <c r="N214" i="1" s="1"/>
  <c r="O214" i="1"/>
  <c r="AM204" i="1"/>
  <c r="P386" i="1"/>
  <c r="N386" i="1" s="1"/>
  <c r="O386" i="1"/>
  <c r="AZ343" i="1"/>
  <c r="F307" i="1"/>
  <c r="F304" i="1"/>
  <c r="AP267" i="1"/>
  <c r="AP268" i="1" s="1"/>
  <c r="AO268" i="1"/>
  <c r="AO261" i="1"/>
  <c r="AV247" i="1"/>
  <c r="N247" i="1"/>
  <c r="AR242" i="1"/>
  <c r="AR241" i="1"/>
  <c r="BL233" i="1"/>
  <c r="AF180" i="1"/>
  <c r="AD180" i="1"/>
  <c r="AG180" i="1" s="1"/>
  <c r="AF172" i="1"/>
  <c r="AD172" i="1"/>
  <c r="AG172" i="1" s="1"/>
  <c r="AO143" i="1"/>
  <c r="AP142" i="1"/>
  <c r="AP143" i="1" s="1"/>
  <c r="AZ233" i="1"/>
  <c r="P229" i="1"/>
  <c r="N229" i="1" s="1"/>
  <c r="O229" i="1"/>
  <c r="N210" i="1"/>
  <c r="N205" i="1" s="1"/>
  <c r="AV210" i="1"/>
  <c r="AV205" i="1" s="1"/>
  <c r="AV204" i="1"/>
  <c r="P186" i="1"/>
  <c r="N186" i="1" s="1"/>
  <c r="O186" i="1"/>
  <c r="AO172" i="1"/>
  <c r="AP171" i="1"/>
  <c r="AP172" i="1" s="1"/>
  <c r="AS149" i="1"/>
  <c r="AM149" i="1"/>
  <c r="Q120" i="1"/>
  <c r="Q121" i="1" s="1"/>
  <c r="Q15" i="1" s="1"/>
  <c r="Q104" i="1"/>
  <c r="AR86" i="1"/>
  <c r="AL26" i="1"/>
  <c r="AO86" i="1"/>
  <c r="AO26" i="1" s="1"/>
  <c r="AO217" i="1"/>
  <c r="AP216" i="1"/>
  <c r="AP217" i="1" s="1"/>
  <c r="AJ197" i="1"/>
  <c r="AJ200" i="1"/>
  <c r="P200" i="1"/>
  <c r="N200" i="1" s="1"/>
  <c r="O200" i="1"/>
  <c r="AT285" i="1"/>
  <c r="AM285" i="1"/>
  <c r="AV285" i="1"/>
  <c r="AW285" i="1" s="1"/>
  <c r="AD128" i="1"/>
  <c r="AG130" i="1"/>
  <c r="AG128" i="1" s="1"/>
  <c r="N128" i="1"/>
  <c r="AP115" i="1"/>
  <c r="AP106" i="1" s="1"/>
  <c r="AP16" i="1" s="1"/>
  <c r="AP12" i="1" s="1"/>
  <c r="AM106" i="1"/>
  <c r="AM16" i="1" s="1"/>
  <c r="AM12" i="1" s="1"/>
  <c r="AW88" i="1"/>
  <c r="AV89" i="1"/>
  <c r="AW89" i="1" s="1"/>
  <c r="P24" i="1"/>
  <c r="AD169" i="1"/>
  <c r="AG169" i="1" s="1"/>
  <c r="AF169" i="1"/>
  <c r="AR154" i="1"/>
  <c r="AI120" i="1"/>
  <c r="AO204" i="1"/>
  <c r="AZ14" i="1"/>
  <c r="AZ11" i="1"/>
  <c r="AZ10" i="1" s="1"/>
  <c r="AP145" i="1"/>
  <c r="AP146" i="1" s="1"/>
  <c r="AO146" i="1"/>
  <c r="AV105" i="1"/>
  <c r="AM119" i="1"/>
  <c r="E105" i="1"/>
  <c r="F112" i="1"/>
  <c r="F105" i="1" s="1"/>
  <c r="O242" i="1"/>
  <c r="AV216" i="1"/>
  <c r="E205" i="1"/>
  <c r="N196" i="1"/>
  <c r="AR149" i="1"/>
  <c r="AS128" i="1"/>
  <c r="AL104" i="1"/>
  <c r="AW96" i="1"/>
  <c r="AV97" i="1"/>
  <c r="Q29" i="1"/>
  <c r="Q26" i="1" s="1"/>
  <c r="O26" i="1"/>
  <c r="E25" i="1"/>
  <c r="AW44" i="1"/>
  <c r="N25" i="1"/>
  <c r="Q14" i="1" l="1"/>
  <c r="Q11" i="1"/>
  <c r="Q10" i="1" s="1"/>
  <c r="AC14" i="1"/>
  <c r="AC11" i="1"/>
  <c r="AC10" i="1" s="1"/>
  <c r="AJ14" i="1"/>
  <c r="AJ11" i="1"/>
  <c r="AJ10" i="1" s="1"/>
  <c r="AI121" i="1"/>
  <c r="P359" i="1"/>
  <c r="N359" i="1" s="1"/>
  <c r="O359" i="1"/>
  <c r="AV180" i="1"/>
  <c r="AW180" i="1" s="1"/>
  <c r="AW179" i="1"/>
  <c r="AV185" i="1"/>
  <c r="AV383" i="1"/>
  <c r="AW383" i="1" s="1"/>
  <c r="AW382" i="1"/>
  <c r="AP86" i="1"/>
  <c r="AP26" i="1" s="1"/>
  <c r="AM26" i="1"/>
  <c r="AO395" i="1"/>
  <c r="AP394" i="1"/>
  <c r="AP395" i="1" s="1"/>
  <c r="N26" i="1"/>
  <c r="AD104" i="1"/>
  <c r="AV217" i="1"/>
  <c r="AW217" i="1" s="1"/>
  <c r="AW216" i="1"/>
  <c r="F244" i="1"/>
  <c r="F242" i="1" s="1"/>
  <c r="E242" i="1"/>
  <c r="E120" i="1" s="1"/>
  <c r="E121" i="1" s="1"/>
  <c r="E15" i="1" s="1"/>
  <c r="AV250" i="1"/>
  <c r="I14" i="1"/>
  <c r="I11" i="1"/>
  <c r="I10" i="1" s="1"/>
  <c r="AO214" i="1"/>
  <c r="AP213" i="1"/>
  <c r="AP214" i="1" s="1"/>
  <c r="P26" i="1"/>
  <c r="AW159" i="1"/>
  <c r="AV160" i="1"/>
  <c r="AW160" i="1" s="1"/>
  <c r="AP237" i="1"/>
  <c r="AP234" i="1"/>
  <c r="P321" i="1"/>
  <c r="N323" i="1"/>
  <c r="N321" i="1" s="1"/>
  <c r="AV356" i="1"/>
  <c r="AW356" i="1" s="1"/>
  <c r="AW355" i="1"/>
  <c r="N104" i="1"/>
  <c r="AV248" i="1"/>
  <c r="AW248" i="1" s="1"/>
  <c r="AW247" i="1"/>
  <c r="AV374" i="1"/>
  <c r="AW374" i="1" s="1"/>
  <c r="AW373" i="1"/>
  <c r="F44" i="1"/>
  <c r="F26" i="1" s="1"/>
  <c r="E26" i="1"/>
  <c r="AI9" i="1"/>
  <c r="AV359" i="1"/>
  <c r="AW359" i="1" s="1"/>
  <c r="AW358" i="1"/>
  <c r="AV361" i="1"/>
  <c r="AO374" i="1"/>
  <c r="AP373" i="1"/>
  <c r="AP374" i="1" s="1"/>
  <c r="AP285" i="1"/>
  <c r="AP282" i="1"/>
  <c r="AP367" i="1"/>
  <c r="AP368" i="1" s="1"/>
  <c r="AO368" i="1"/>
  <c r="AV104" i="1"/>
  <c r="AG120" i="1"/>
  <c r="AG121" i="1" s="1"/>
  <c r="AZ119" i="1"/>
  <c r="AZ13" i="1" s="1"/>
  <c r="AZ9" i="1" s="1"/>
  <c r="AO205" i="1"/>
  <c r="AF120" i="1"/>
  <c r="AF121" i="1" s="1"/>
  <c r="AF15" i="1" s="1"/>
  <c r="AW104" i="1"/>
  <c r="N202" i="1"/>
  <c r="N197" i="1" s="1"/>
  <c r="P197" i="1"/>
  <c r="AG15" i="1"/>
  <c r="AG104" i="1"/>
  <c r="O310" i="1"/>
  <c r="P310" i="1"/>
  <c r="N310" i="1" s="1"/>
  <c r="AL120" i="1"/>
  <c r="AL121" i="1" s="1"/>
  <c r="AL15" i="1" s="1"/>
  <c r="AR344" i="1"/>
  <c r="AO393" i="1"/>
  <c r="BL393" i="1"/>
  <c r="AP242" i="1"/>
  <c r="AO359" i="1"/>
  <c r="AP358" i="1"/>
  <c r="AP359" i="1" s="1"/>
  <c r="AM93" i="1"/>
  <c r="AR93" i="1"/>
  <c r="BL93" i="1"/>
  <c r="BL24" i="1" s="1"/>
  <c r="BW24" i="1" s="1"/>
  <c r="AO93" i="1"/>
  <c r="AO24" i="1" s="1"/>
  <c r="AL24" i="1"/>
  <c r="AL13" i="1" s="1"/>
  <c r="AY13" i="1"/>
  <c r="AD344" i="1"/>
  <c r="AG346" i="1"/>
  <c r="AG344" i="1" s="1"/>
  <c r="AW367" i="1"/>
  <c r="AV368" i="1"/>
  <c r="AW368" i="1" s="1"/>
  <c r="N154" i="1"/>
  <c r="AP353" i="1"/>
  <c r="AP344" i="1"/>
  <c r="N242" i="1"/>
  <c r="AO343" i="1"/>
  <c r="AV344" i="1"/>
  <c r="AW343" i="1"/>
  <c r="AW385" i="1"/>
  <c r="AV386" i="1"/>
  <c r="AW386" i="1" s="1"/>
  <c r="AM120" i="1"/>
  <c r="AM121" i="1" s="1"/>
  <c r="AM15" i="1" s="1"/>
  <c r="E104" i="1"/>
  <c r="AT14" i="1"/>
  <c r="AT11" i="1"/>
  <c r="AT10" i="1" s="1"/>
  <c r="AW264" i="1"/>
  <c r="AV265" i="1"/>
  <c r="AW265" i="1" s="1"/>
  <c r="AP296" i="1"/>
  <c r="AP293" i="1"/>
  <c r="AP104" i="1"/>
  <c r="F264" i="1"/>
  <c r="F262" i="1" s="1"/>
  <c r="AV270" i="1"/>
  <c r="AV262" i="1" s="1"/>
  <c r="E262" i="1"/>
  <c r="AO344" i="1"/>
  <c r="AW244" i="1"/>
  <c r="AV245" i="1"/>
  <c r="AW245" i="1" s="1"/>
  <c r="AV211" i="1"/>
  <c r="AW211" i="1" s="1"/>
  <c r="AW210" i="1"/>
  <c r="AW205" i="1" s="1"/>
  <c r="F285" i="1"/>
  <c r="F282" i="1"/>
  <c r="AW379" i="1"/>
  <c r="AV380" i="1"/>
  <c r="AW380" i="1" s="1"/>
  <c r="AS344" i="1"/>
  <c r="AS120" i="1" s="1"/>
  <c r="AS121" i="1" s="1"/>
  <c r="AS15" i="1" s="1"/>
  <c r="N306" i="1"/>
  <c r="N304" i="1" s="1"/>
  <c r="P304" i="1"/>
  <c r="AP309" i="1"/>
  <c r="AO310" i="1"/>
  <c r="AO304" i="1"/>
  <c r="AO120" i="1" s="1"/>
  <c r="AO121" i="1" s="1"/>
  <c r="AO15" i="1" s="1"/>
  <c r="AW97" i="1"/>
  <c r="AV98" i="1"/>
  <c r="AW98" i="1" s="1"/>
  <c r="F104" i="1"/>
  <c r="AD120" i="1"/>
  <c r="AD121" i="1" s="1"/>
  <c r="AD15" i="1" s="1"/>
  <c r="AW412" i="1"/>
  <c r="AW413" i="1"/>
  <c r="AO392" i="1"/>
  <c r="AP391" i="1"/>
  <c r="AP392" i="1" s="1"/>
  <c r="AW269" i="1"/>
  <c r="AW261" i="1" s="1"/>
  <c r="AV261" i="1"/>
  <c r="AV119" i="1" s="1"/>
  <c r="AV13" i="1" s="1"/>
  <c r="AV9" i="1" s="1"/>
  <c r="N413" i="1"/>
  <c r="N412" i="1"/>
  <c r="P203" i="1"/>
  <c r="N203" i="1" s="1"/>
  <c r="O203" i="1"/>
  <c r="AW249" i="1"/>
  <c r="AW241" i="1" s="1"/>
  <c r="AV241" i="1"/>
  <c r="X104" i="1"/>
  <c r="X15" i="1"/>
  <c r="AW182" i="1"/>
  <c r="AV183" i="1"/>
  <c r="AW183" i="1" s="1"/>
  <c r="AQ343" i="1"/>
  <c r="AQ119" i="1" s="1"/>
  <c r="AV392" i="1"/>
  <c r="AW392" i="1" s="1"/>
  <c r="AW391" i="1"/>
  <c r="AV394" i="1"/>
  <c r="P344" i="1"/>
  <c r="P120" i="1" s="1"/>
  <c r="P121" i="1" s="1"/>
  <c r="P15" i="1" s="1"/>
  <c r="AV94" i="1"/>
  <c r="AW93" i="1"/>
  <c r="AW24" i="1" s="1"/>
  <c r="AV24" i="1"/>
  <c r="P307" i="1"/>
  <c r="N307" i="1" s="1"/>
  <c r="O307" i="1"/>
  <c r="AV267" i="1"/>
  <c r="N267" i="1"/>
  <c r="N262" i="1" s="1"/>
  <c r="N120" i="1" s="1"/>
  <c r="N121" i="1" s="1"/>
  <c r="N15" i="1" s="1"/>
  <c r="O104" i="1"/>
  <c r="O15" i="1"/>
  <c r="AM104" i="1"/>
  <c r="J26" i="1"/>
  <c r="J15" i="1" s="1"/>
  <c r="AV157" i="1"/>
  <c r="AW157" i="1" s="1"/>
  <c r="AW156" i="1"/>
  <c r="AV165" i="1"/>
  <c r="AV154" i="1" s="1"/>
  <c r="O324" i="1"/>
  <c r="P324" i="1"/>
  <c r="N324" i="1" s="1"/>
  <c r="AV389" i="1"/>
  <c r="AW389" i="1" s="1"/>
  <c r="AW388" i="1"/>
  <c r="AS11" i="1" l="1"/>
  <c r="AS10" i="1" s="1"/>
  <c r="AS14" i="1"/>
  <c r="AW119" i="1"/>
  <c r="AW13" i="1" s="1"/>
  <c r="AW9" i="1" s="1"/>
  <c r="AL9" i="1"/>
  <c r="AR13" i="1"/>
  <c r="N14" i="1"/>
  <c r="N11" i="1"/>
  <c r="N10" i="1" s="1"/>
  <c r="AD14" i="1"/>
  <c r="AD11" i="1"/>
  <c r="AD10" i="1" s="1"/>
  <c r="E11" i="1"/>
  <c r="E10" i="1" s="1"/>
  <c r="E14" i="1"/>
  <c r="AM11" i="1"/>
  <c r="AM10" i="1" s="1"/>
  <c r="AM14" i="1"/>
  <c r="J14" i="1"/>
  <c r="J11" i="1"/>
  <c r="J10" i="1" s="1"/>
  <c r="AO14" i="1"/>
  <c r="AO11" i="1"/>
  <c r="AO10" i="1" s="1"/>
  <c r="P11" i="1"/>
  <c r="P10" i="1" s="1"/>
  <c r="P14" i="1"/>
  <c r="AV251" i="1"/>
  <c r="AW251" i="1" s="1"/>
  <c r="AW250" i="1"/>
  <c r="AW185" i="1"/>
  <c r="AW177" i="1" s="1"/>
  <c r="AV186" i="1"/>
  <c r="AW186" i="1" s="1"/>
  <c r="AV242" i="1"/>
  <c r="AO119" i="1"/>
  <c r="AL11" i="1"/>
  <c r="AL10" i="1" s="1"/>
  <c r="AL14" i="1"/>
  <c r="AG11" i="1"/>
  <c r="AG10" i="1" s="1"/>
  <c r="AG14" i="1"/>
  <c r="AF14" i="1"/>
  <c r="AF11" i="1"/>
  <c r="AF10" i="1" s="1"/>
  <c r="AR9" i="1"/>
  <c r="AP205" i="1"/>
  <c r="AP120" i="1" s="1"/>
  <c r="AP121" i="1" s="1"/>
  <c r="AP15" i="1" s="1"/>
  <c r="AV177" i="1"/>
  <c r="AV120" i="1" s="1"/>
  <c r="AV121" i="1" s="1"/>
  <c r="AV166" i="1"/>
  <c r="AW166" i="1" s="1"/>
  <c r="AW165" i="1"/>
  <c r="AW154" i="1" s="1"/>
  <c r="AW120" i="1" s="1"/>
  <c r="AW121" i="1" s="1"/>
  <c r="AV271" i="1"/>
  <c r="AW271" i="1" s="1"/>
  <c r="AW270" i="1"/>
  <c r="AW267" i="1"/>
  <c r="AW262" i="1" s="1"/>
  <c r="AV268" i="1"/>
  <c r="AW268" i="1" s="1"/>
  <c r="AV395" i="1"/>
  <c r="AW395" i="1" s="1"/>
  <c r="AW394" i="1"/>
  <c r="AP310" i="1"/>
  <c r="AP304" i="1"/>
  <c r="AP93" i="1"/>
  <c r="AP24" i="1" s="1"/>
  <c r="AM24" i="1"/>
  <c r="AM13" i="1" s="1"/>
  <c r="AM9" i="1" s="1"/>
  <c r="BW378" i="1"/>
  <c r="BX378" i="1" s="1"/>
  <c r="AY445" i="1"/>
  <c r="BL343" i="1"/>
  <c r="AV362" i="1"/>
  <c r="AW362" i="1" s="1"/>
  <c r="AW361" i="1"/>
  <c r="AW344" i="1" s="1"/>
  <c r="F120" i="1"/>
  <c r="F121" i="1" s="1"/>
  <c r="F15" i="1" s="1"/>
  <c r="AR121" i="1"/>
  <c r="AI15" i="1"/>
  <c r="X14" i="1"/>
  <c r="X11" i="1"/>
  <c r="X10" i="1" s="1"/>
  <c r="AW242" i="1"/>
  <c r="AY9" i="1"/>
  <c r="O11" i="1"/>
  <c r="O10" i="1" s="1"/>
  <c r="O14" i="1"/>
  <c r="AW94" i="1"/>
  <c r="AW25" i="1" s="1"/>
  <c r="AV95" i="1"/>
  <c r="AV25" i="1"/>
  <c r="BX24" i="1"/>
  <c r="AP393" i="1"/>
  <c r="AP343" i="1" s="1"/>
  <c r="AP119" i="1" s="1"/>
  <c r="AP13" i="1" s="1"/>
  <c r="AP9" i="1" s="1"/>
  <c r="AO445" i="1"/>
  <c r="AR120" i="1"/>
  <c r="AP14" i="1" l="1"/>
  <c r="AP11" i="1"/>
  <c r="AP10" i="1" s="1"/>
  <c r="AI11" i="1"/>
  <c r="AI14" i="1"/>
  <c r="AR14" i="1" s="1"/>
  <c r="AR15" i="1"/>
  <c r="AW95" i="1"/>
  <c r="AW26" i="1" s="1"/>
  <c r="AW15" i="1" s="1"/>
  <c r="AV26" i="1"/>
  <c r="AV15" i="1" s="1"/>
  <c r="F11" i="1"/>
  <c r="F10" i="1" s="1"/>
  <c r="F14" i="1"/>
  <c r="AO13" i="1"/>
  <c r="BL119" i="1"/>
  <c r="BW343" i="1"/>
  <c r="BX343" i="1" s="1"/>
  <c r="AV11" i="1" l="1"/>
  <c r="AV10" i="1" s="1"/>
  <c r="AV14" i="1"/>
  <c r="AW11" i="1"/>
  <c r="AW10" i="1" s="1"/>
  <c r="AW14" i="1"/>
  <c r="BL13" i="1"/>
  <c r="BW119" i="1"/>
  <c r="BX119" i="1" s="1"/>
  <c r="AO9" i="1"/>
  <c r="AR11" i="1"/>
  <c r="AI10" i="1"/>
  <c r="AR10" i="1" s="1"/>
  <c r="BL9" i="1" l="1"/>
  <c r="BW9" i="1" s="1"/>
  <c r="BX9" i="1" s="1"/>
  <c r="BW13" i="1"/>
  <c r="BX1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Асель М. Кузетова</author>
  </authors>
  <commentList>
    <comment ref="AL198" authorId="0" shapeId="0" xr:uid="{1001B3EF-D1AE-45C6-A8A2-6DA9323EF358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ору 56484
к.п. 4436
ж.д.тариф 4
з/ч 6388</t>
        </r>
      </text>
    </comment>
    <comment ref="AL201" authorId="0" shapeId="0" xr:uid="{B1AA46C5-9B4F-438F-9091-FD0256B00A23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ору 9712
к.п. 0
ж.д.тариф 0
з/ч 2738</t>
        </r>
      </text>
    </comment>
    <comment ref="AL206" authorId="0" shapeId="0" xr:uid="{CF110BAA-FF4E-43FA-B472-A551EC745F87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ору 46990
к.п. 6643
ж.д.тариф 0
з/ч 2061</t>
        </r>
      </text>
    </comment>
    <comment ref="AL209" authorId="0" shapeId="0" xr:uid="{A9DBE6C5-B8C3-4FFD-8B63-5EC8A2FF47C9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ору 118936
к.п. 10830
ж.д.тариф 3
з/ч 7881</t>
        </r>
      </text>
    </comment>
    <comment ref="AL212" authorId="0" shapeId="0" xr:uid="{D0DDDAB6-76A1-438E-9578-0B5A62D02C0F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ору 17666
к.п. 1467
ж.д.тариф 0
з/ч 1477</t>
        </r>
      </text>
    </comment>
    <comment ref="AL215" authorId="0" shapeId="0" xr:uid="{AFA1C099-EF13-4F6E-AB24-F81651FDA9C6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ору 15021+35550
к.п. 0+8611
ж.д.тариф 1+1
з/ч 810+9125</t>
        </r>
      </text>
    </comment>
    <comment ref="AL218" authorId="0" shapeId="0" xr:uid="{7F2FBF7F-E5DB-4C91-B635-06DA8970B3EB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ору 17400
к.п. 0
ж.д.тариф 0
з/ч 826</t>
        </r>
      </text>
    </comment>
    <comment ref="AL221" authorId="0" shapeId="0" xr:uid="{E52BFD16-8BDD-4B33-923B-876D9B1B4B16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ору 22368
к.п. 7826
ж.д.тариф 1
з/ч 1738</t>
        </r>
      </text>
    </comment>
    <comment ref="AL235" authorId="0" shapeId="0" xr:uid="{E858F1A0-1F1E-4885-9FD4-340409E72278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ору 25848
к.п. 1209
ж.д.тариф 0
з/ч 1087</t>
        </r>
      </text>
    </comment>
    <comment ref="AL238" authorId="0" shapeId="0" xr:uid="{26288D9E-26F4-4F39-9794-E4D1CF3C6075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ору 3470
к.п. 604
ж.д.тариф 0
з/ч 144</t>
        </r>
      </text>
    </comment>
    <comment ref="AL243" authorId="0" shapeId="0" xr:uid="{A486F5C0-EEC8-4F46-ACCD-B421C8DA75FF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ору 13064
к.п. 2982
ж.д.тариф 1
з/ч 814</t>
        </r>
      </text>
    </comment>
    <comment ref="AL246" authorId="0" shapeId="0" xr:uid="{92F09BAB-ED11-4AA3-8737-606A9563D20B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ору 5153
к.п. 0
ж.д.тариф 0
з/ч 102</t>
        </r>
      </text>
    </comment>
    <comment ref="AL249" authorId="0" shapeId="0" xr:uid="{88C5DF3B-65F2-4A13-8CCF-105A522F7AC4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ору 21334+10768
к.п. 1121+0
ж.д.тариф 1+0
з/ч 2733+947</t>
        </r>
      </text>
    </comment>
    <comment ref="AL252" authorId="0" shapeId="0" xr:uid="{F715B403-7C31-4E05-976A-BD2C5D8C0DF9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ору 4456
к.п. 0
ж.д.тариф 0
з/ч 487</t>
        </r>
      </text>
    </comment>
    <comment ref="AL255" authorId="0" shapeId="0" xr:uid="{E1FD6FE1-5265-462D-A48D-772EA5F71CAF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ору 9291
к.п. 1067
ж.д.тариф 0
з/ч 1261</t>
        </r>
      </text>
    </comment>
    <comment ref="AL263" authorId="0" shapeId="0" xr:uid="{4726F1F0-4C0F-4E71-AD91-B2A236B6EDEC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ору 18462
к.п. 1813
ж.д.тариф 0
з/ч 919</t>
        </r>
      </text>
    </comment>
    <comment ref="AL266" authorId="0" shapeId="0" xr:uid="{965750FB-7378-4017-91EA-41CF213D534C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ору 41408
к.п. 17500
ж.д.тариф 0
з/ч 4061</t>
        </r>
      </text>
    </comment>
    <comment ref="AL269" authorId="0" shapeId="0" xr:uid="{0A55E81B-F92B-44C3-B200-2DB7A0ECCBFE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ору 22455
к.п. 1121
ж.д.тариф 1
з/ч 3992</t>
        </r>
      </text>
    </comment>
    <comment ref="AL272" authorId="0" shapeId="0" xr:uid="{2B4AFDC9-6D68-4EBA-9413-2C64A6880AB1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ору 15034
к.п. 6481
ж.д.тариф 0
з/ч 3148</t>
        </r>
      </text>
    </comment>
    <comment ref="AL283" authorId="0" shapeId="0" xr:uid="{344C94AC-9854-438A-A65A-45360F7A38E5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ору 12997
к.п. 453
ж.д.тариф 0
з/ч 509</t>
        </r>
      </text>
    </comment>
    <comment ref="AL286" authorId="0" shapeId="0" xr:uid="{D1D07113-AC2E-405B-B5FB-590CED7334A6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ору 27512
к.п. 0
ж.д.тариф 0
з/ч 1700</t>
        </r>
      </text>
    </comment>
    <comment ref="AL289" authorId="0" shapeId="0" xr:uid="{6D45751E-163A-4E23-BC8C-FAF514CBB0F1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ору 10295
к.п. 1430
ж.д.тариф 0
з/ч 790</t>
        </r>
      </text>
    </comment>
    <comment ref="AL294" authorId="0" shapeId="0" xr:uid="{AD41C5F4-32D7-4DC3-8CD3-20F1E9F555B5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ору 1291
к.п. 0
ж.д.тариф 0
з/ч 159</t>
        </r>
      </text>
    </comment>
    <comment ref="AL297" authorId="0" shapeId="0" xr:uid="{887D172C-AC14-42BF-A0B5-E4F7DDAD06C4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ору 1347
к.п. 0
ж.д.тариф 0
з/ч 51</t>
        </r>
      </text>
    </comment>
    <comment ref="AL305" authorId="0" shapeId="0" xr:uid="{5028C781-F887-409A-825C-0DB780412B15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ору 154909-2
к.п. 90217
ж.д.тариф 8
з/ч 17241+2</t>
        </r>
      </text>
    </comment>
    <comment ref="AL308" authorId="0" shapeId="0" xr:uid="{C4216085-1122-492C-A3A8-4B687A7D20D5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ору 21261+18199
к.п. 3568+0
ж.д.тариф 0+0
з/ч 3274+10045</t>
        </r>
      </text>
    </comment>
    <comment ref="AL311" authorId="0" shapeId="0" xr:uid="{58106921-A034-4727-87D8-597C6E551769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ору 23271
к.п. 51722
ж.д.тариф 0
з/ч 3936</t>
        </r>
      </text>
    </comment>
    <comment ref="AL314" authorId="0" shapeId="0" xr:uid="{50E42F72-AA61-4DBE-97BD-EA44E3FDBF8D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ору 29620
к.п. 843
ж.д.тариф 0
з/ч 824</t>
        </r>
      </text>
    </comment>
    <comment ref="AL317" authorId="0" shapeId="0" xr:uid="{24D69376-3E87-487F-9802-626748F7DE7F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ору 35180
к.п. 0
ж.д.тариф 0
з/ч 2191</t>
        </r>
      </text>
    </comment>
    <comment ref="AL322" authorId="0" shapeId="0" xr:uid="{599B867A-0ABF-4B0C-B3B8-7FA1247F3069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ору 55258-2
к.п. 102752
ж.д.тариф 4
з/ч 8048+2</t>
        </r>
      </text>
    </comment>
    <comment ref="AL325" authorId="0" shapeId="0" xr:uid="{9A39BD0F-E913-4A0E-B7D0-5C144518D0C1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ору 1081
к.п. 0
ж.д.тариф 0
з/ч 6882</t>
        </r>
      </text>
    </comment>
    <comment ref="AL328" authorId="0" shapeId="0" xr:uid="{B2603DCD-F2BD-4127-9487-1499C6C08573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ору 7582
к.п. 15165
ж.д.тариф 0
з/ч 2173</t>
        </r>
      </text>
    </comment>
    <comment ref="AL331" authorId="0" shapeId="0" xr:uid="{7EB7943D-074A-412A-A31B-8AC894B4E9B2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ору 15969+1
к.п. 0
ж.д.тариф 0
з/ч 734-1</t>
        </r>
      </text>
    </comment>
    <comment ref="AL334" authorId="0" shapeId="0" xr:uid="{ED3C7146-FBE1-41FA-8586-72C413C1697E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ору 90952+1
к.п. 52428
ж.д.тариф 0
з/ч 6041-1</t>
        </r>
      </text>
    </comment>
    <comment ref="AL337" authorId="0" shapeId="0" xr:uid="{63EF9930-0A75-4527-9E6A-BBFBD26378A8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ору 23715
к.п. 1872
ж.д.тариф 0
з/ч 1753</t>
        </r>
      </text>
    </comment>
    <comment ref="AL340" authorId="0" shapeId="0" xr:uid="{9C31A926-D4B3-4B58-AA72-4358D4825A46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ору 9373
к.п. 0
ж.д.тариф 0
з/ч 284</t>
        </r>
      </text>
    </comment>
    <comment ref="AL378" authorId="0" shapeId="0" xr:uid="{9AE7B126-2DD3-4ECB-A491-3B2E85D0D977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ору 347823
к.п. 19114
ж.д.тариф 433
з/ч 32957</t>
        </r>
      </text>
    </comment>
    <comment ref="AL381" authorId="0" shapeId="0" xr:uid="{BF776D7A-718C-4B33-8359-58615BB89CEF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ору 151032
к.п. 11254
ж.д.тариф 231
з/ч 23271</t>
        </r>
      </text>
    </comment>
    <comment ref="AL384" authorId="0" shapeId="0" xr:uid="{11B60F23-E7C8-4F4B-88D6-4BDCC6581DFF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ору 85421
к.п. 5225
ж.д.тариф 145
з/ч 46810</t>
        </r>
      </text>
    </comment>
    <comment ref="AL387" authorId="0" shapeId="0" xr:uid="{1835A916-8A41-46AA-8662-40237302614D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ору 96961
к.п. 3273
ж.д.тариф 128
з/ч 15029</t>
        </r>
      </text>
    </comment>
    <comment ref="AL390" authorId="0" shapeId="0" xr:uid="{2EBA1390-0D9A-4190-8C4A-9C050F68C7A6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ору 85832
к.п. 7523
ж.д.тариф 76
з/ч 12772</t>
        </r>
      </text>
    </comment>
    <comment ref="AL393" authorId="0" shapeId="0" xr:uid="{40D36E67-B3A5-413A-B109-C000D4739247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ору 3584331
к.п. 1178123
ж.д.тариф 4750
з/ч 397169</t>
        </r>
      </text>
    </comment>
    <comment ref="AL396" authorId="0" shapeId="0" xr:uid="{46248898-67FD-4153-80D2-5EBC05FFDC57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ору 144589
к.п. 100376
ж.д.тариф 160
з/ч 24991</t>
        </r>
      </text>
    </comment>
    <comment ref="AL399" authorId="0" shapeId="0" xr:uid="{9B88C42F-6E9E-414A-B48E-C2B3FCB769DA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ору 20750-1
к.п. 17728+1
ж.д.тариф 43
з/ч 14615</t>
        </r>
      </text>
    </comment>
    <comment ref="AL402" authorId="0" shapeId="0" xr:uid="{B13B45A4-39A6-472E-B073-7348DD66ED82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ору 84987
к.п. 30071
ж.д.тариф 63
з/ч 1313</t>
        </r>
      </text>
    </comment>
    <comment ref="AL405" authorId="0" shapeId="0" xr:uid="{E3291736-5978-4A60-BAD5-9BD857EC2ADE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ору 57621
к.п. 37634
ж.д.тариф 52
з/ч 10101</t>
        </r>
      </text>
    </comment>
    <comment ref="AL408" authorId="0" shapeId="0" xr:uid="{0187322E-D28A-4E61-A035-BED1A1CDC94D}">
      <text>
        <r>
          <rPr>
            <b/>
            <sz val="9"/>
            <color indexed="81"/>
            <rFont val="Tahoma"/>
            <family val="2"/>
            <charset val="204"/>
          </rPr>
          <t>Асель М. Кузетова:</t>
        </r>
        <r>
          <rPr>
            <sz val="9"/>
            <color indexed="81"/>
            <rFont val="Tahoma"/>
            <family val="2"/>
            <charset val="204"/>
          </rPr>
          <t xml:space="preserve">
ору 55861-1
к.п. 57485
ж.д.тариф 44
з/ч 5688+1</t>
        </r>
      </text>
    </comment>
  </commentList>
</comments>
</file>

<file path=xl/sharedStrings.xml><?xml version="1.0" encoding="utf-8"?>
<sst xmlns="http://schemas.openxmlformats.org/spreadsheetml/2006/main" count="1349" uniqueCount="212">
  <si>
    <t>исх. № _________________</t>
  </si>
  <si>
    <t>Отчет об исполнении Плана капитальных вложений АО "Қазтеміртранс" за 12 месяцев 2019 года
(по фактическим данным)</t>
  </si>
  <si>
    <t>от ____________________</t>
  </si>
  <si>
    <t>тыс. тенге</t>
  </si>
  <si>
    <t>№ п/п</t>
  </si>
  <si>
    <t>Наименование проекта</t>
  </si>
  <si>
    <t>ПКВ/ГФ</t>
  </si>
  <si>
    <t>Источники финансирования</t>
  </si>
  <si>
    <t>План на 2019 год*</t>
  </si>
  <si>
    <t>Все договоры, доп.соглашения, уведомления (о расторжениии) и пр. с начала реализации проекта</t>
  </si>
  <si>
    <r>
      <t xml:space="preserve">Освоение с начала реализации проекта до отчетного года
</t>
    </r>
    <r>
      <rPr>
        <i/>
        <sz val="10"/>
        <rFont val="Times New Roman"/>
        <family val="1"/>
        <charset val="204"/>
      </rPr>
      <t>(указываются только те проекты, которые предусмотрены в плане отчетного года)</t>
    </r>
  </si>
  <si>
    <r>
      <t xml:space="preserve">Исполнение за отчетный период
</t>
    </r>
    <r>
      <rPr>
        <i/>
        <sz val="10"/>
        <rFont val="Times New Roman"/>
        <family val="1"/>
        <charset val="204"/>
      </rPr>
      <t>(с начала года - по отчетный месяц включительно)</t>
    </r>
  </si>
  <si>
    <r>
      <t xml:space="preserve">расшифровка финансирования </t>
    </r>
    <r>
      <rPr>
        <i/>
        <sz val="10"/>
        <rFont val="Times New Roman"/>
        <family val="1"/>
        <charset val="204"/>
      </rPr>
      <t>(без НДС)</t>
    </r>
    <r>
      <rPr>
        <b/>
        <sz val="10"/>
        <rFont val="Times New Roman"/>
        <family val="1"/>
        <charset val="204"/>
      </rPr>
      <t xml:space="preserve"> за отчетный период</t>
    </r>
  </si>
  <si>
    <t>Ожидаемое исполнение до конца года</t>
  </si>
  <si>
    <t xml:space="preserve">Факторы и их значения, которые повлияли на исполнение плана в отчетном периоде                                                                                                                                                  </t>
  </si>
  <si>
    <t>Регион реализации проекта</t>
  </si>
  <si>
    <t>Меры реагирования</t>
  </si>
  <si>
    <t>Ответственный(-ые) за исполнение проекта</t>
  </si>
  <si>
    <t>Примечание</t>
  </si>
  <si>
    <t>Сметная стоимость</t>
  </si>
  <si>
    <t>Сроки релизации</t>
  </si>
  <si>
    <t>Кол-во</t>
  </si>
  <si>
    <t>Годовой план</t>
  </si>
  <si>
    <t>Наименование подрядчика</t>
  </si>
  <si>
    <t>№ и дата договора</t>
  </si>
  <si>
    <t>Валюта договора</t>
  </si>
  <si>
    <t>Сумма договора</t>
  </si>
  <si>
    <t>Срок завершения по договору</t>
  </si>
  <si>
    <t>Кол-во по договору</t>
  </si>
  <si>
    <t>Итого за период с 2017 по 2018 гг.</t>
  </si>
  <si>
    <t>план*</t>
  </si>
  <si>
    <t>факт</t>
  </si>
  <si>
    <t>отклонения</t>
  </si>
  <si>
    <t>позднее проведение процедур закупок, позднее закл.договоров</t>
  </si>
  <si>
    <t>условная экономия по итогам тендерных процедур</t>
  </si>
  <si>
    <t>задержка получения заключения госэкспертизы, разрешения на производство СМР</t>
  </si>
  <si>
    <t>договора не заключены</t>
  </si>
  <si>
    <t>ненадлежащее исполнение договорных обязательтсв подрядчиком</t>
  </si>
  <si>
    <t>расторжение договора по инициативе Заказчика</t>
  </si>
  <si>
    <t>расторжение договора по инициативе Подрядчика</t>
  </si>
  <si>
    <t>перевыполнение в пределах сметной стоимости</t>
  </si>
  <si>
    <t>перевыполнение сверх сметной стоимости</t>
  </si>
  <si>
    <t>исполнение вне плана</t>
  </si>
  <si>
    <t>утрата производственной необходимости</t>
  </si>
  <si>
    <t>задержка получения заемных средств, средств РБ и др.</t>
  </si>
  <si>
    <t>форс-мажор, подтвержденный заключением уполномоченного органа</t>
  </si>
  <si>
    <r>
      <t xml:space="preserve">другие причины </t>
    </r>
    <r>
      <rPr>
        <i/>
        <sz val="10"/>
        <rFont val="Times New Roman"/>
        <family val="1"/>
        <charset val="204"/>
      </rPr>
      <t>(расписать при наличии)</t>
    </r>
  </si>
  <si>
    <r>
      <t xml:space="preserve">область </t>
    </r>
    <r>
      <rPr>
        <i/>
        <sz val="10"/>
        <rFont val="Times New Roman"/>
        <family val="1"/>
        <charset val="204"/>
      </rPr>
      <t>(город Республиканского значения)</t>
    </r>
  </si>
  <si>
    <r>
      <t xml:space="preserve">НОД, НЖС </t>
    </r>
    <r>
      <rPr>
        <i/>
        <sz val="10"/>
        <rFont val="Times New Roman"/>
        <family val="1"/>
        <charset val="204"/>
      </rPr>
      <t>(с указанеим станции)</t>
    </r>
  </si>
  <si>
    <t>Сумма взысканных штрафов, пени и пр. за неисполнение договорных обязательств подрядчиком и по др. основаниям</t>
  </si>
  <si>
    <r>
      <t>Сумма удержаний</t>
    </r>
    <r>
      <rPr>
        <i/>
        <sz val="10"/>
        <rFont val="Times New Roman"/>
        <family val="1"/>
        <charset val="204"/>
      </rPr>
      <t xml:space="preserve"> (по банковским гарантиям и/или внесенным на расчетный счет АО "НК "КТЖ" обеспечениям)</t>
    </r>
    <r>
      <rPr>
        <b/>
        <sz val="10"/>
        <rFont val="Times New Roman"/>
        <family val="1"/>
        <charset val="204"/>
      </rPr>
      <t xml:space="preserve"> за неисполнение договорных обязательств подрядчиком и по др. основаниям</t>
    </r>
  </si>
  <si>
    <t>Принимаемые меры к подрядчикам, выполняющим договорные обязательства ненадлежащим образом</t>
  </si>
  <si>
    <t>Фамилия, инициалы</t>
  </si>
  <si>
    <t>Наименование должности</t>
  </si>
  <si>
    <t>в валюте договора</t>
  </si>
  <si>
    <t>в тенге</t>
  </si>
  <si>
    <t>сумма</t>
  </si>
  <si>
    <t>кол-во</t>
  </si>
  <si>
    <t>% к плану</t>
  </si>
  <si>
    <t>оплата за выполненные работы до отчетного периода</t>
  </si>
  <si>
    <t>оплата за выполненные работы в отчетном периоде</t>
  </si>
  <si>
    <t>предоплата за будущие работы</t>
  </si>
  <si>
    <t>без НДС</t>
  </si>
  <si>
    <t>с НДС</t>
  </si>
  <si>
    <t xml:space="preserve"> (-)</t>
  </si>
  <si>
    <t>(-)</t>
  </si>
  <si>
    <t>(+)</t>
  </si>
  <si>
    <t>(-/+)</t>
  </si>
  <si>
    <t>АО "Қазтеміртранс" (группа)</t>
  </si>
  <si>
    <t>освоение</t>
  </si>
  <si>
    <t>всего</t>
  </si>
  <si>
    <t>финансирование</t>
  </si>
  <si>
    <t>всего, в т.ч.</t>
  </si>
  <si>
    <t>собственные</t>
  </si>
  <si>
    <t>заемные</t>
  </si>
  <si>
    <t>АО "Қазтеміртранс"</t>
  </si>
  <si>
    <t>Обновление и реабилитация инфраструктуры</t>
  </si>
  <si>
    <t xml:space="preserve">Кредиторская задолженность </t>
  </si>
  <si>
    <t>Целевая программа "Улучшение административных и социально-бытовых условий труда работников"</t>
  </si>
  <si>
    <t>Приобретение необъектного оборудования</t>
  </si>
  <si>
    <t>Астана</t>
  </si>
  <si>
    <t>г. Астана</t>
  </si>
  <si>
    <t>НПФ-2</t>
  </si>
  <si>
    <t>г. Костанай</t>
  </si>
  <si>
    <t>НПФ-6</t>
  </si>
  <si>
    <t>г. Семей</t>
  </si>
  <si>
    <t>НПФ-7</t>
  </si>
  <si>
    <t>г. Алматы</t>
  </si>
  <si>
    <t>НПФ-1</t>
  </si>
  <si>
    <t>НПФ-9</t>
  </si>
  <si>
    <t>НПФ-3</t>
  </si>
  <si>
    <t>НПФ-11</t>
  </si>
  <si>
    <t>Целевая программа "Приобретение  грузовых вагонов"</t>
  </si>
  <si>
    <t>Приобретение полувагонов</t>
  </si>
  <si>
    <t>ТОО "КВК"</t>
  </si>
  <si>
    <t>№28-05/3-НПС от  28.05.2014г.</t>
  </si>
  <si>
    <t>тенге</t>
  </si>
  <si>
    <t>до 20.12.14г</t>
  </si>
  <si>
    <t>ст. Экибастуз</t>
  </si>
  <si>
    <t>№1-10/1-НПС  от 1.10.2015г.</t>
  </si>
  <si>
    <t>до 31.12.2015г.</t>
  </si>
  <si>
    <t>г. Петропавловск</t>
  </si>
  <si>
    <t>Целевая программа "Капитальный ремонт грузовых вагонов"</t>
  </si>
  <si>
    <t>РК</t>
  </si>
  <si>
    <r>
      <t xml:space="preserve">Работы по деповскому ремонту грузовых вагонов по техническому решению с продлением срока полезного использования (ДР по ТР) - </t>
    </r>
    <r>
      <rPr>
        <sz val="10"/>
        <color rgb="FFFF0000"/>
        <rFont val="Times New Roman"/>
        <family val="1"/>
        <charset val="204"/>
      </rPr>
      <t>(хоппер для цемента - 5ед.)</t>
    </r>
  </si>
  <si>
    <t>Всего по хопперам для цемента</t>
  </si>
  <si>
    <t>ТОО "Astana Railway Services"</t>
  </si>
  <si>
    <t>№31-07/8-НПС от 31.07.18г.</t>
  </si>
  <si>
    <t>до 31.10.18г</t>
  </si>
  <si>
    <r>
      <t xml:space="preserve">Работы по деповскому ремонту грузовых вагонов по техническому решению с продлением срока полезного использования (ДР по ТР) – </t>
    </r>
    <r>
      <rPr>
        <sz val="10"/>
        <color rgb="FFFF0000"/>
        <rFont val="Times New Roman"/>
        <family val="1"/>
        <charset val="204"/>
      </rPr>
      <t>(вагон-хопперов крытых для зерна - 953ед.)</t>
    </r>
  </si>
  <si>
    <t>Всего по вагонам-хопперам крытым для зерна</t>
  </si>
  <si>
    <t>ТОО "Қамқор вагон"</t>
  </si>
  <si>
    <t>№27-04/2-НПС от 27.04.18г.</t>
  </si>
  <si>
    <t>до подведения итогов ОТ, объявл.на 14.05.18г</t>
  </si>
  <si>
    <t>№03-05/1-НПС от 03.05.18г.</t>
  </si>
  <si>
    <t>АО "АВРЗ"</t>
  </si>
  <si>
    <t>№27-04/1-НПС от 27.04.18г.</t>
  </si>
  <si>
    <t>№23-07/1-НПС от 23.07.18г.</t>
  </si>
  <si>
    <t>до 31.12.18г</t>
  </si>
  <si>
    <t>до 30.09.18г</t>
  </si>
  <si>
    <t>№23-07/2-НПС от 23.07.18г.</t>
  </si>
  <si>
    <t>№06-12/1-НПС от 06.12.18г.</t>
  </si>
  <si>
    <r>
      <t xml:space="preserve">Работы по деповскому ремонту грузовых вагонов по техническому решению с продлением срока полезного использования (ДР по ТР) - </t>
    </r>
    <r>
      <rPr>
        <sz val="10"/>
        <color rgb="FFFF0000"/>
        <rFont val="Times New Roman"/>
        <family val="1"/>
        <charset val="204"/>
      </rPr>
      <t>(крытые - 613ед.)</t>
    </r>
  </si>
  <si>
    <t>Всего по крытым</t>
  </si>
  <si>
    <t>ТОО "Шымкент Рем Сервис"</t>
  </si>
  <si>
    <t>№31-07/7-НПС от 31.07.18г.</t>
  </si>
  <si>
    <r>
      <t xml:space="preserve">Работы по деповскому ремонту грузовых вагонов по техническому решению с продлением срока полезного использования (ДР по ТР) - </t>
    </r>
    <r>
      <rPr>
        <sz val="10"/>
        <color rgb="FFFF0000"/>
        <rFont val="Times New Roman"/>
        <family val="1"/>
        <charset val="204"/>
      </rPr>
      <t>(платформ универсальных - 205ед.)</t>
    </r>
  </si>
  <si>
    <t>Всего по платформам универсальным</t>
  </si>
  <si>
    <t>до 31.08.18г</t>
  </si>
  <si>
    <r>
      <t xml:space="preserve">Работы по деповскому ремонту грузовых вагонов по техническому решению с продлением срока полезного использования (ДР по ТР) </t>
    </r>
    <r>
      <rPr>
        <sz val="10"/>
        <color rgb="FFFF0000"/>
        <rFont val="Times New Roman"/>
        <family val="1"/>
        <charset val="204"/>
      </rPr>
      <t>(крытые - 45ед.)</t>
    </r>
  </si>
  <si>
    <t>Всего по крытым вагонам</t>
  </si>
  <si>
    <t>№273267/2019/3 от 02.05.19г.</t>
  </si>
  <si>
    <t>до 31.10.19г</t>
  </si>
  <si>
    <t>№342706/2019/4 от 24.10.19г.</t>
  </si>
  <si>
    <t>до 31.12.19г</t>
  </si>
  <si>
    <r>
      <t xml:space="preserve">Работы по деповскому ремонту грузовых вагонов по техническому решению с продлением срока полезного использования (ДР по ТР) </t>
    </r>
    <r>
      <rPr>
        <sz val="10"/>
        <color rgb="FFFF0000"/>
        <rFont val="Times New Roman"/>
        <family val="1"/>
        <charset val="204"/>
      </rPr>
      <t>(универсальные платформы - 196ед.)</t>
    </r>
  </si>
  <si>
    <t>до 30.11.19г</t>
  </si>
  <si>
    <t>№273267/2019/1 от 02.05.19г.</t>
  </si>
  <si>
    <t>ТОО "Вагоноремонтное депо "Бурабай"</t>
  </si>
  <si>
    <t>№273267/2019/5 от 02.05.19г.</t>
  </si>
  <si>
    <t>ТОО Astana Railway Services</t>
  </si>
  <si>
    <t>№273267/2019/2 от 02.05.19г.</t>
  </si>
  <si>
    <t>ТОО "Аждар и К"</t>
  </si>
  <si>
    <t>№273267/2019/7 от 02.05.19г.</t>
  </si>
  <si>
    <t>№273267/2019/6 от 02.05.19г.</t>
  </si>
  <si>
    <r>
      <t xml:space="preserve">Работы по деповскому ремонту грузовых вагонов по техническому решению с продлением срока полезного использования (ДР по ТР) </t>
    </r>
    <r>
      <rPr>
        <sz val="10"/>
        <color rgb="FFFF0000"/>
        <rFont val="Times New Roman"/>
        <family val="1"/>
        <charset val="204"/>
      </rPr>
      <t>цистерна для пищевых продуктов, используемых для перевозки питьевой воды - 25ед.)</t>
    </r>
  </si>
  <si>
    <t>Всего по цистернам для пищевых продуктов</t>
  </si>
  <si>
    <t>до 30.06.19г</t>
  </si>
  <si>
    <r>
      <t xml:space="preserve">Работы по деповскому ремонту грузовых вагонов по техническому решению с продлением срока полезного использования (ДР по ТР) - </t>
    </r>
    <r>
      <rPr>
        <sz val="10"/>
        <color rgb="FFFF0000"/>
        <rFont val="Times New Roman"/>
        <family val="1"/>
        <charset val="204"/>
      </rPr>
      <t>(вагон-хопперов крытых для зерна - 66ед.)</t>
    </r>
  </si>
  <si>
    <t>Всего по вагон-хопперам для зерна</t>
  </si>
  <si>
    <t>до 31.08.19г</t>
  </si>
  <si>
    <r>
      <t xml:space="preserve">Работы по деповскому ремонту грузовых вагонов по техническому решению с продлением срока полезного использования (ДР по ТР) - </t>
    </r>
    <r>
      <rPr>
        <sz val="10"/>
        <color rgb="FFFF0000"/>
        <rFont val="Times New Roman"/>
        <family val="1"/>
        <charset val="204"/>
      </rPr>
      <t>(платформ для крупнотоннажных контейнеров - 99ед.)</t>
    </r>
  </si>
  <si>
    <t>Всего по платформам для крупнотоннажных контейнеров</t>
  </si>
  <si>
    <r>
      <t>Работы по деповскому ремонту грузовых вагонов по техническому решению с продлением срока полезного использования (ДР по ТР) (</t>
    </r>
    <r>
      <rPr>
        <sz val="10"/>
        <color rgb="FFFF0000"/>
        <rFont val="Times New Roman"/>
        <family val="1"/>
        <charset val="204"/>
      </rPr>
      <t>хоппер для цемента - 50ед.)</t>
    </r>
  </si>
  <si>
    <t>ТОО "ЖамбылРемСервис"</t>
  </si>
  <si>
    <t>№273267/2019/4 от 02.05.19г.</t>
  </si>
  <si>
    <r>
      <t>Работы по деповскому ремонту грузовых вагонов по техническому решению с продлением срока полезного использования (ДР по ТР) (</t>
    </r>
    <r>
      <rPr>
        <sz val="10"/>
        <color rgb="FFFF0000"/>
        <rFont val="Times New Roman"/>
        <family val="1"/>
        <charset val="204"/>
      </rPr>
      <t>платформ для перевозки колесных пар - 3ед.)</t>
    </r>
  </si>
  <si>
    <t>Всего по платформам для перевозки колесных пар</t>
  </si>
  <si>
    <r>
      <t>Работы по деповскому ремонту грузовых вагонов по техническому решению с продлением срока полезного использования (ДР по ТР) (полувагонов</t>
    </r>
    <r>
      <rPr>
        <sz val="10"/>
        <color rgb="FFFF0000"/>
        <rFont val="Times New Roman"/>
        <family val="1"/>
        <charset val="204"/>
      </rPr>
      <t xml:space="preserve"> - 200ед.)</t>
    </r>
  </si>
  <si>
    <t>Всего по полувагонам</t>
  </si>
  <si>
    <t>№342706/2019/1 от 23.10.19г.</t>
  </si>
  <si>
    <t>№342706/2019/3 от 24.10.19г.</t>
  </si>
  <si>
    <t>№342706/2019/6 от 24.10.19г.</t>
  </si>
  <si>
    <t>АО АВРЗ</t>
  </si>
  <si>
    <t>№342706/2019/2 от 23.10.19г.</t>
  </si>
  <si>
    <r>
      <t>Работы по деповскому ремонту грузовых вагонов по техническому решению с продлением срока полезного использования (ДР по ТР) (крытые</t>
    </r>
    <r>
      <rPr>
        <sz val="10"/>
        <color rgb="FFFF0000"/>
        <rFont val="Times New Roman"/>
        <family val="1"/>
        <charset val="204"/>
      </rPr>
      <t xml:space="preserve"> - 150ед.)</t>
    </r>
  </si>
  <si>
    <t>№342706/2019/7 от 24.10.19г.</t>
  </si>
  <si>
    <t>№342706/2019/5 от 24.10.19г.</t>
  </si>
  <si>
    <t xml:space="preserve">Всего КР </t>
  </si>
  <si>
    <t>Работы по капитальному ремонту грузовых вагонов (КР) 3390ед.</t>
  </si>
  <si>
    <t>№29-12/5-НПС от 29.12.17г.</t>
  </si>
  <si>
    <t>30.06.18г</t>
  </si>
  <si>
    <t>№29-12/7-НПС от 29.12.17г.</t>
  </si>
  <si>
    <t>ТОО "Богатырь Транс"</t>
  </si>
  <si>
    <t>№29-12/6-НПС от 29.12.17г.</t>
  </si>
  <si>
    <t>№29-12/8-НПС от 29.12.17г.</t>
  </si>
  <si>
    <t>ТОО "Камкор Вагон"</t>
  </si>
  <si>
    <t>№25-09/5-НПС от 25.09.14г.
доп.согл №04-12/3-НПС от 04.12.17г.
доп.согл №29-12/9-НПС от 29.12.17г.</t>
  </si>
  <si>
    <t>31.12.18г</t>
  </si>
  <si>
    <t>№12-07/1-НПС от 12.07.18г.</t>
  </si>
  <si>
    <t>№31-07/1-НПС от 31.07.18г.</t>
  </si>
  <si>
    <t>№31-07/2-НПС от 31.07.18г.</t>
  </si>
  <si>
    <t>№31-07/3-НПС от 31.07.18г.</t>
  </si>
  <si>
    <t>№12-07/4-НПС от 12.07.18г.</t>
  </si>
  <si>
    <t>ООО "Неро"</t>
  </si>
  <si>
    <t>№28-05/1-НПС от 28.05.18г.</t>
  </si>
  <si>
    <t>рубль</t>
  </si>
  <si>
    <t>до подведения итогов ОТ</t>
  </si>
  <si>
    <t>Работ по капитальному ремонту грузовых вагонов (КР) в количестве 2100ед.</t>
  </si>
  <si>
    <t>№04-01/8-НПС от 04.01.19г.</t>
  </si>
  <si>
    <t>ТОО Богатырь Транс</t>
  </si>
  <si>
    <t>№04-01/10-НПС от 04.01.19г.</t>
  </si>
  <si>
    <t>№04-01/3-НПС от 04.01.19г.</t>
  </si>
  <si>
    <t>ТОО ЖамбылРемСервис</t>
  </si>
  <si>
    <t>№04-01/6-НПС от 04.01.19г.</t>
  </si>
  <si>
    <t>ТОО ШымкентРемСервис</t>
  </si>
  <si>
    <t>№04-01/1-НПС от 04.01.19г.</t>
  </si>
  <si>
    <t>№25-09/5-НПС от 25.09.14г.
доп.согл №29-12/13-НПС от 29.12.18г.</t>
  </si>
  <si>
    <t>№299713/2019/2 от 24.06.19г.</t>
  </si>
  <si>
    <t>№299729/2019/1 от 24.06.19г.</t>
  </si>
  <si>
    <t>№299713/2019/3 от 24.06.19г.</t>
  </si>
  <si>
    <t>№299713/2019/1 от 24.06.19г.</t>
  </si>
  <si>
    <t>№299729/2019/2 от 24.06.19г.</t>
  </si>
  <si>
    <t>Целевая программа "Обновление и реабилитация инфраструктуры"</t>
  </si>
  <si>
    <t>Экибастуз</t>
  </si>
  <si>
    <t>г. Экибастуз</t>
  </si>
  <si>
    <t>Приобретение компьютерной и печатной техники</t>
  </si>
  <si>
    <t>Директор Департамента экономики</t>
  </si>
  <si>
    <t>А. Утепбергенов</t>
  </si>
  <si>
    <t>Главный бухгалтер - Директор Департамента бухгалтерского учета</t>
  </si>
  <si>
    <t>М. Узенбаев</t>
  </si>
  <si>
    <t>* план утвержден СД АО "НК "ҚТЖ" от 30.05.2019г. (протокол № 8), одобрен Правлением АО "Қазтеміртранс" от 03.07.2019г. (протокол №03-38), утвержден СД АО "Қазтеміртранс" от 29.07.2019г. (протокол №13)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</si>
</sst>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р_._-;\-* #,##0.00_р_._-;_-* &quot;-&quot;??_р_._-;_-@_-"/>
    <numFmt numFmtId="165" formatCode="dd/mm/yy;@"/>
    <numFmt numFmtId="166" formatCode="_-* #,##0_р_._-;\-* #,##0_р_._-;_-* &quot;-&quot;??_р_._-;_-@_-"/>
    <numFmt numFmtId="167" formatCode="0.0%"/>
    <numFmt numFmtId="168" formatCode="0.00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sz val="10"/>
      <name val="Arial"/>
      <family val="2"/>
      <charset val="204"/>
    </font>
    <font>
      <b/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0"/>
      <name val="Arial Cyr"/>
      <charset val="204"/>
    </font>
    <font>
      <sz val="16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10" fillId="0" borderId="0"/>
    <xf numFmtId="0" fontId="19" fillId="0" borderId="0"/>
  </cellStyleXfs>
  <cellXfs count="54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3" fontId="2" fillId="0" borderId="0" xfId="1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3" fontId="8" fillId="0" borderId="0" xfId="0" applyNumberFormat="1" applyFont="1" applyAlignment="1">
      <alignment horizontal="left" vertical="center" wrapText="1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3" fontId="7" fillId="0" borderId="0" xfId="1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3" fontId="11" fillId="0" borderId="3" xfId="3" applyNumberFormat="1" applyFont="1" applyBorder="1" applyAlignment="1">
      <alignment horizontal="center" vertical="center" wrapText="1"/>
    </xf>
    <xf numFmtId="3" fontId="11" fillId="0" borderId="5" xfId="3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" fontId="11" fillId="0" borderId="1" xfId="3" applyNumberFormat="1" applyFont="1" applyBorder="1" applyAlignment="1">
      <alignment horizontal="center" vertical="center" wrapText="1"/>
    </xf>
    <xf numFmtId="4" fontId="11" fillId="0" borderId="1" xfId="3" applyNumberFormat="1" applyFont="1" applyBorder="1" applyAlignment="1">
      <alignment horizontal="center" vertical="center" wrapText="1"/>
    </xf>
    <xf numFmtId="3" fontId="14" fillId="0" borderId="1" xfId="3" applyNumberFormat="1" applyFont="1" applyBorder="1" applyAlignment="1">
      <alignment horizontal="center" vertical="center" wrapText="1"/>
    </xf>
    <xf numFmtId="3" fontId="11" fillId="0" borderId="1" xfId="1" applyNumberFormat="1" applyFont="1" applyFill="1" applyBorder="1" applyAlignment="1">
      <alignment horizontal="center" vertical="center" wrapText="1"/>
    </xf>
    <xf numFmtId="3" fontId="3" fillId="0" borderId="1" xfId="3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/>
    </xf>
    <xf numFmtId="3" fontId="13" fillId="3" borderId="1" xfId="1" applyNumberFormat="1" applyFont="1" applyFill="1" applyBorder="1" applyAlignment="1">
      <alignment horizontal="right" vertical="center"/>
    </xf>
    <xf numFmtId="166" fontId="13" fillId="3" borderId="1" xfId="1" applyNumberFormat="1" applyFont="1" applyFill="1" applyBorder="1" applyAlignment="1">
      <alignment horizontal="right" vertical="center"/>
    </xf>
    <xf numFmtId="166" fontId="13" fillId="3" borderId="1" xfId="1" applyNumberFormat="1" applyFont="1" applyFill="1" applyBorder="1" applyAlignment="1">
      <alignment horizontal="right" vertical="center" wrapText="1"/>
    </xf>
    <xf numFmtId="4" fontId="13" fillId="3" borderId="1" xfId="1" applyNumberFormat="1" applyFont="1" applyFill="1" applyBorder="1" applyAlignment="1">
      <alignment horizontal="right" vertical="center"/>
    </xf>
    <xf numFmtId="167" fontId="13" fillId="3" borderId="1" xfId="2" applyNumberFormat="1" applyFont="1" applyFill="1" applyBorder="1" applyAlignment="1">
      <alignment vertical="center"/>
    </xf>
    <xf numFmtId="166" fontId="13" fillId="3" borderId="1" xfId="1" applyNumberFormat="1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166" fontId="2" fillId="3" borderId="1" xfId="0" applyNumberFormat="1" applyFont="1" applyFill="1" applyBorder="1" applyAlignment="1">
      <alignment vertical="center"/>
    </xf>
    <xf numFmtId="166" fontId="5" fillId="3" borderId="1" xfId="0" applyNumberFormat="1" applyFont="1" applyFill="1" applyBorder="1" applyAlignment="1">
      <alignment vertical="center"/>
    </xf>
    <xf numFmtId="9" fontId="13" fillId="3" borderId="1" xfId="2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3" fontId="2" fillId="4" borderId="1" xfId="1" applyNumberFormat="1" applyFont="1" applyFill="1" applyBorder="1" applyAlignment="1">
      <alignment horizontal="right" vertical="center"/>
    </xf>
    <xf numFmtId="166" fontId="2" fillId="4" borderId="1" xfId="1" applyNumberFormat="1" applyFont="1" applyFill="1" applyBorder="1" applyAlignment="1">
      <alignment horizontal="right" vertical="center"/>
    </xf>
    <xf numFmtId="166" fontId="2" fillId="4" borderId="1" xfId="1" applyNumberFormat="1" applyFont="1" applyFill="1" applyBorder="1" applyAlignment="1">
      <alignment horizontal="right" vertical="center" wrapText="1"/>
    </xf>
    <xf numFmtId="4" fontId="2" fillId="4" borderId="1" xfId="1" applyNumberFormat="1" applyFont="1" applyFill="1" applyBorder="1" applyAlignment="1">
      <alignment horizontal="right" vertical="center"/>
    </xf>
    <xf numFmtId="9" fontId="13" fillId="4" borderId="1" xfId="2" applyFont="1" applyFill="1" applyBorder="1" applyAlignment="1">
      <alignment vertical="center"/>
    </xf>
    <xf numFmtId="166" fontId="2" fillId="4" borderId="1" xfId="1" applyNumberFormat="1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2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13" fillId="5" borderId="1" xfId="0" applyFont="1" applyFill="1" applyBorder="1" applyAlignment="1">
      <alignment horizontal="left" vertical="center"/>
    </xf>
    <xf numFmtId="3" fontId="13" fillId="5" borderId="1" xfId="1" applyNumberFormat="1" applyFont="1" applyFill="1" applyBorder="1" applyAlignment="1">
      <alignment horizontal="right" vertical="center"/>
    </xf>
    <xf numFmtId="166" fontId="13" fillId="5" borderId="1" xfId="1" applyNumberFormat="1" applyFont="1" applyFill="1" applyBorder="1" applyAlignment="1">
      <alignment horizontal="right" vertical="center"/>
    </xf>
    <xf numFmtId="166" fontId="13" fillId="5" borderId="1" xfId="1" applyNumberFormat="1" applyFont="1" applyFill="1" applyBorder="1" applyAlignment="1">
      <alignment horizontal="right" vertical="center" wrapText="1"/>
    </xf>
    <xf numFmtId="4" fontId="13" fillId="5" borderId="1" xfId="1" applyNumberFormat="1" applyFont="1" applyFill="1" applyBorder="1" applyAlignment="1">
      <alignment horizontal="right" vertical="center"/>
    </xf>
    <xf numFmtId="9" fontId="13" fillId="5" borderId="1" xfId="2" applyFont="1" applyFill="1" applyBorder="1" applyAlignment="1">
      <alignment vertical="center"/>
    </xf>
    <xf numFmtId="166" fontId="13" fillId="5" borderId="1" xfId="1" applyNumberFormat="1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166" fontId="2" fillId="5" borderId="1" xfId="0" applyNumberFormat="1" applyFont="1" applyFill="1" applyBorder="1" applyAlignment="1">
      <alignment vertical="center"/>
    </xf>
    <xf numFmtId="166" fontId="5" fillId="5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left" vertical="center"/>
    </xf>
    <xf numFmtId="3" fontId="2" fillId="6" borderId="1" xfId="1" applyNumberFormat="1" applyFont="1" applyFill="1" applyBorder="1" applyAlignment="1">
      <alignment horizontal="right" vertical="center"/>
    </xf>
    <xf numFmtId="166" fontId="2" fillId="6" borderId="1" xfId="1" applyNumberFormat="1" applyFont="1" applyFill="1" applyBorder="1" applyAlignment="1">
      <alignment horizontal="right" vertical="center"/>
    </xf>
    <xf numFmtId="166" fontId="2" fillId="6" borderId="1" xfId="1" applyNumberFormat="1" applyFont="1" applyFill="1" applyBorder="1" applyAlignment="1">
      <alignment horizontal="right" vertical="center" wrapText="1"/>
    </xf>
    <xf numFmtId="4" fontId="2" fillId="6" borderId="1" xfId="1" applyNumberFormat="1" applyFont="1" applyFill="1" applyBorder="1" applyAlignment="1">
      <alignment horizontal="right" vertical="center"/>
    </xf>
    <xf numFmtId="9" fontId="13" fillId="6" borderId="1" xfId="2" applyFont="1" applyFill="1" applyBorder="1" applyAlignment="1">
      <alignment vertical="center"/>
    </xf>
    <xf numFmtId="166" fontId="2" fillId="6" borderId="1" xfId="1" applyNumberFormat="1" applyFont="1" applyFill="1" applyBorder="1" applyAlignment="1">
      <alignment vertical="center"/>
    </xf>
    <xf numFmtId="0" fontId="2" fillId="6" borderId="0" xfId="0" applyFont="1" applyFill="1" applyAlignment="1">
      <alignment vertical="center"/>
    </xf>
    <xf numFmtId="0" fontId="2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13" fillId="7" borderId="1" xfId="0" applyFont="1" applyFill="1" applyBorder="1" applyAlignment="1">
      <alignment horizontal="left" vertical="center"/>
    </xf>
    <xf numFmtId="3" fontId="13" fillId="7" borderId="1" xfId="1" applyNumberFormat="1" applyFont="1" applyFill="1" applyBorder="1" applyAlignment="1">
      <alignment horizontal="right" vertical="center"/>
    </xf>
    <xf numFmtId="0" fontId="13" fillId="7" borderId="1" xfId="1" applyNumberFormat="1" applyFont="1" applyFill="1" applyBorder="1" applyAlignment="1">
      <alignment horizontal="center" vertical="center" wrapText="1"/>
    </xf>
    <xf numFmtId="3" fontId="13" fillId="7" borderId="1" xfId="1" applyNumberFormat="1" applyFont="1" applyFill="1" applyBorder="1" applyAlignment="1">
      <alignment vertical="center"/>
    </xf>
    <xf numFmtId="166" fontId="11" fillId="7" borderId="1" xfId="1" applyNumberFormat="1" applyFont="1" applyFill="1" applyBorder="1" applyAlignment="1">
      <alignment horizontal="left" vertical="center" wrapText="1"/>
    </xf>
    <xf numFmtId="166" fontId="13" fillId="7" borderId="1" xfId="1" applyNumberFormat="1" applyFont="1" applyFill="1" applyBorder="1" applyAlignment="1">
      <alignment horizontal="left" vertical="center"/>
    </xf>
    <xf numFmtId="166" fontId="13" fillId="7" borderId="1" xfId="1" applyNumberFormat="1" applyFont="1" applyFill="1" applyBorder="1" applyAlignment="1">
      <alignment horizontal="center" vertical="center"/>
    </xf>
    <xf numFmtId="4" fontId="13" fillId="7" borderId="1" xfId="1" applyNumberFormat="1" applyFont="1" applyFill="1" applyBorder="1" applyAlignment="1">
      <alignment vertical="center"/>
    </xf>
    <xf numFmtId="166" fontId="13" fillId="7" borderId="1" xfId="1" applyNumberFormat="1" applyFont="1" applyFill="1" applyBorder="1" applyAlignment="1">
      <alignment horizontal="left" vertical="center" wrapText="1"/>
    </xf>
    <xf numFmtId="9" fontId="13" fillId="7" borderId="1" xfId="2" applyFont="1" applyFill="1" applyBorder="1" applyAlignment="1">
      <alignment vertical="center"/>
    </xf>
    <xf numFmtId="166" fontId="13" fillId="7" borderId="1" xfId="1" applyNumberFormat="1" applyFont="1" applyFill="1" applyBorder="1" applyAlignment="1">
      <alignment horizontal="right" vertical="center"/>
    </xf>
    <xf numFmtId="3" fontId="2" fillId="7" borderId="1" xfId="1" applyNumberFormat="1" applyFont="1" applyFill="1" applyBorder="1" applyAlignment="1">
      <alignment horizontal="right" vertical="center"/>
    </xf>
    <xf numFmtId="166" fontId="13" fillId="7" borderId="1" xfId="1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5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2" fillId="8" borderId="1" xfId="0" applyFont="1" applyFill="1" applyBorder="1" applyAlignment="1">
      <alignment horizontal="left" vertical="center"/>
    </xf>
    <xf numFmtId="3" fontId="2" fillId="8" borderId="1" xfId="1" applyNumberFormat="1" applyFont="1" applyFill="1" applyBorder="1" applyAlignment="1">
      <alignment horizontal="right" vertical="center"/>
    </xf>
    <xf numFmtId="0" fontId="2" fillId="8" borderId="1" xfId="1" applyNumberFormat="1" applyFont="1" applyFill="1" applyBorder="1" applyAlignment="1">
      <alignment horizontal="center" vertical="center" wrapText="1"/>
    </xf>
    <xf numFmtId="3" fontId="2" fillId="8" borderId="1" xfId="1" applyNumberFormat="1" applyFont="1" applyFill="1" applyBorder="1" applyAlignment="1">
      <alignment vertical="center"/>
    </xf>
    <xf numFmtId="166" fontId="3" fillId="8" borderId="1" xfId="1" applyNumberFormat="1" applyFont="1" applyFill="1" applyBorder="1" applyAlignment="1">
      <alignment horizontal="left" vertical="center" wrapText="1"/>
    </xf>
    <xf numFmtId="166" fontId="2" fillId="8" borderId="1" xfId="1" applyNumberFormat="1" applyFont="1" applyFill="1" applyBorder="1" applyAlignment="1">
      <alignment horizontal="left" vertical="center"/>
    </xf>
    <xf numFmtId="166" fontId="2" fillId="8" borderId="1" xfId="1" applyNumberFormat="1" applyFont="1" applyFill="1" applyBorder="1" applyAlignment="1">
      <alignment horizontal="center" vertical="center"/>
    </xf>
    <xf numFmtId="4" fontId="2" fillId="8" borderId="1" xfId="1" applyNumberFormat="1" applyFont="1" applyFill="1" applyBorder="1" applyAlignment="1">
      <alignment vertical="center"/>
    </xf>
    <xf numFmtId="166" fontId="2" fillId="8" borderId="1" xfId="1" applyNumberFormat="1" applyFont="1" applyFill="1" applyBorder="1" applyAlignment="1">
      <alignment horizontal="left" vertical="center" wrapText="1"/>
    </xf>
    <xf numFmtId="9" fontId="2" fillId="8" borderId="1" xfId="2" applyFont="1" applyFill="1" applyBorder="1" applyAlignment="1">
      <alignment vertical="center"/>
    </xf>
    <xf numFmtId="166" fontId="2" fillId="8" borderId="1" xfId="1" applyNumberFormat="1" applyFont="1" applyFill="1" applyBorder="1" applyAlignment="1">
      <alignment horizontal="right" vertical="center"/>
    </xf>
    <xf numFmtId="166" fontId="2" fillId="8" borderId="1" xfId="1" applyNumberFormat="1" applyFont="1" applyFill="1" applyBorder="1" applyAlignment="1">
      <alignment vertical="center"/>
    </xf>
    <xf numFmtId="0" fontId="2" fillId="8" borderId="0" xfId="0" applyFont="1" applyFill="1" applyAlignment="1">
      <alignment vertical="center"/>
    </xf>
    <xf numFmtId="0" fontId="2" fillId="8" borderId="1" xfId="0" applyFont="1" applyFill="1" applyBorder="1" applyAlignment="1">
      <alignment vertical="center"/>
    </xf>
    <xf numFmtId="0" fontId="5" fillId="8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3" fontId="13" fillId="0" borderId="1" xfId="1" applyNumberFormat="1" applyFont="1" applyBorder="1" applyAlignment="1">
      <alignment horizontal="right" vertical="center"/>
    </xf>
    <xf numFmtId="3" fontId="13" fillId="0" borderId="1" xfId="1" applyNumberFormat="1" applyFont="1" applyBorder="1" applyAlignment="1">
      <alignment vertical="center"/>
    </xf>
    <xf numFmtId="4" fontId="13" fillId="0" borderId="1" xfId="1" applyNumberFormat="1" applyFont="1" applyBorder="1" applyAlignment="1">
      <alignment vertical="center"/>
    </xf>
    <xf numFmtId="9" fontId="13" fillId="0" borderId="1" xfId="2" applyFont="1" applyBorder="1" applyAlignment="1">
      <alignment vertical="center"/>
    </xf>
    <xf numFmtId="166" fontId="13" fillId="0" borderId="1" xfId="1" applyNumberFormat="1" applyFont="1" applyBorder="1" applyAlignment="1">
      <alignment horizontal="right" vertical="center"/>
    </xf>
    <xf numFmtId="166" fontId="13" fillId="0" borderId="1" xfId="1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3" fontId="2" fillId="0" borderId="1" xfId="1" applyNumberFormat="1" applyFont="1" applyBorder="1" applyAlignment="1">
      <alignment horizontal="right" vertical="center"/>
    </xf>
    <xf numFmtId="3" fontId="2" fillId="0" borderId="1" xfId="1" applyNumberFormat="1" applyFont="1" applyBorder="1" applyAlignment="1">
      <alignment vertical="center"/>
    </xf>
    <xf numFmtId="4" fontId="2" fillId="0" borderId="1" xfId="1" applyNumberFormat="1" applyFont="1" applyBorder="1" applyAlignment="1">
      <alignment vertical="center"/>
    </xf>
    <xf numFmtId="9" fontId="2" fillId="0" borderId="1" xfId="2" applyFont="1" applyBorder="1" applyAlignment="1">
      <alignment vertical="center"/>
    </xf>
    <xf numFmtId="166" fontId="2" fillId="0" borderId="1" xfId="1" applyNumberFormat="1" applyFont="1" applyBorder="1" applyAlignment="1">
      <alignment horizontal="right" vertical="center"/>
    </xf>
    <xf numFmtId="166" fontId="2" fillId="0" borderId="1" xfId="1" applyNumberFormat="1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166" fontId="3" fillId="0" borderId="1" xfId="1" applyNumberFormat="1" applyFont="1" applyBorder="1" applyAlignment="1">
      <alignment horizontal="left" vertical="center" wrapText="1"/>
    </xf>
    <xf numFmtId="166" fontId="2" fillId="0" borderId="1" xfId="1" applyNumberFormat="1" applyFont="1" applyBorder="1" applyAlignment="1">
      <alignment horizontal="left" vertical="center"/>
    </xf>
    <xf numFmtId="166" fontId="2" fillId="0" borderId="1" xfId="1" applyNumberFormat="1" applyFont="1" applyBorder="1" applyAlignment="1">
      <alignment horizontal="center" vertical="center"/>
    </xf>
    <xf numFmtId="166" fontId="2" fillId="0" borderId="1" xfId="1" applyNumberFormat="1" applyFont="1" applyBorder="1" applyAlignment="1">
      <alignment horizontal="left" vertical="center" wrapText="1"/>
    </xf>
    <xf numFmtId="4" fontId="13" fillId="7" borderId="1" xfId="1" applyNumberFormat="1" applyFont="1" applyFill="1" applyBorder="1" applyAlignment="1">
      <alignment horizontal="right" vertical="center"/>
    </xf>
    <xf numFmtId="4" fontId="2" fillId="8" borderId="1" xfId="1" applyNumberFormat="1" applyFont="1" applyFill="1" applyBorder="1" applyAlignment="1">
      <alignment horizontal="right" vertical="center"/>
    </xf>
    <xf numFmtId="0" fontId="16" fillId="0" borderId="1" xfId="0" applyFont="1" applyBorder="1" applyAlignment="1">
      <alignment horizontal="left" vertical="center"/>
    </xf>
    <xf numFmtId="3" fontId="16" fillId="0" borderId="1" xfId="1" applyNumberFormat="1" applyFont="1" applyBorder="1" applyAlignment="1">
      <alignment horizontal="right" vertical="center"/>
    </xf>
    <xf numFmtId="3" fontId="16" fillId="0" borderId="1" xfId="1" applyNumberFormat="1" applyFont="1" applyBorder="1" applyAlignment="1">
      <alignment vertical="center"/>
    </xf>
    <xf numFmtId="166" fontId="4" fillId="0" borderId="1" xfId="1" applyNumberFormat="1" applyFont="1" applyBorder="1" applyAlignment="1">
      <alignment vertical="center"/>
    </xf>
    <xf numFmtId="4" fontId="16" fillId="0" borderId="1" xfId="1" applyNumberFormat="1" applyFont="1" applyBorder="1" applyAlignment="1">
      <alignment vertical="center"/>
    </xf>
    <xf numFmtId="3" fontId="4" fillId="0" borderId="1" xfId="1" applyNumberFormat="1" applyFont="1" applyBorder="1" applyAlignment="1">
      <alignment horizontal="center" vertical="center"/>
    </xf>
    <xf numFmtId="3" fontId="16" fillId="7" borderId="1" xfId="1" applyNumberFormat="1" applyFont="1" applyFill="1" applyBorder="1" applyAlignment="1">
      <alignment vertical="center"/>
    </xf>
    <xf numFmtId="9" fontId="16" fillId="0" borderId="1" xfId="2" applyFont="1" applyBorder="1" applyAlignment="1">
      <alignment vertical="center"/>
    </xf>
    <xf numFmtId="166" fontId="16" fillId="0" borderId="1" xfId="1" applyNumberFormat="1" applyFont="1" applyBorder="1" applyAlignment="1">
      <alignment horizontal="right" vertical="center"/>
    </xf>
    <xf numFmtId="166" fontId="16" fillId="0" borderId="1" xfId="1" applyNumberFormat="1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3" fontId="4" fillId="0" borderId="1" xfId="1" applyNumberFormat="1" applyFont="1" applyBorder="1" applyAlignment="1">
      <alignment horizontal="right" vertical="center"/>
    </xf>
    <xf numFmtId="3" fontId="4" fillId="0" borderId="1" xfId="1" applyNumberFormat="1" applyFont="1" applyBorder="1" applyAlignment="1">
      <alignment vertical="center"/>
    </xf>
    <xf numFmtId="4" fontId="4" fillId="0" borderId="1" xfId="1" applyNumberFormat="1" applyFont="1" applyBorder="1" applyAlignment="1">
      <alignment vertical="center"/>
    </xf>
    <xf numFmtId="9" fontId="4" fillId="0" borderId="1" xfId="2" applyFont="1" applyBorder="1" applyAlignment="1">
      <alignment vertical="center"/>
    </xf>
    <xf numFmtId="166" fontId="4" fillId="0" borderId="1" xfId="1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3" fontId="11" fillId="0" borderId="1" xfId="1" applyNumberFormat="1" applyFont="1" applyBorder="1" applyAlignment="1">
      <alignment vertical="center"/>
    </xf>
    <xf numFmtId="4" fontId="11" fillId="0" borderId="1" xfId="1" applyNumberFormat="1" applyFont="1" applyBorder="1" applyAlignment="1">
      <alignment vertical="center"/>
    </xf>
    <xf numFmtId="3" fontId="11" fillId="0" borderId="1" xfId="1" applyNumberFormat="1" applyFont="1" applyBorder="1" applyAlignment="1">
      <alignment horizontal="right" vertical="center"/>
    </xf>
    <xf numFmtId="9" fontId="11" fillId="0" borderId="1" xfId="2" applyFont="1" applyBorder="1" applyAlignment="1">
      <alignment vertical="center"/>
    </xf>
    <xf numFmtId="3" fontId="15" fillId="0" borderId="1" xfId="1" applyNumberFormat="1" applyFont="1" applyBorder="1" applyAlignment="1">
      <alignment horizontal="right" vertical="center"/>
    </xf>
    <xf numFmtId="3" fontId="3" fillId="0" borderId="1" xfId="1" applyNumberFormat="1" applyFont="1" applyBorder="1" applyAlignment="1">
      <alignment vertical="center"/>
    </xf>
    <xf numFmtId="3" fontId="3" fillId="0" borderId="1" xfId="1" applyNumberFormat="1" applyFont="1" applyBorder="1" applyAlignment="1">
      <alignment horizontal="right" vertical="center"/>
    </xf>
    <xf numFmtId="9" fontId="3" fillId="0" borderId="1" xfId="2" applyFont="1" applyBorder="1" applyAlignment="1">
      <alignment vertical="center"/>
    </xf>
    <xf numFmtId="3" fontId="5" fillId="0" borderId="1" xfId="1" applyNumberFormat="1" applyFont="1" applyBorder="1" applyAlignment="1">
      <alignment horizontal="right" vertical="center"/>
    </xf>
    <xf numFmtId="3" fontId="11" fillId="7" borderId="1" xfId="1" applyNumberFormat="1" applyFont="1" applyFill="1" applyBorder="1" applyAlignment="1">
      <alignment vertical="center"/>
    </xf>
    <xf numFmtId="3" fontId="15" fillId="3" borderId="1" xfId="1" applyNumberFormat="1" applyFont="1" applyFill="1" applyBorder="1" applyAlignment="1">
      <alignment horizontal="right" vertical="center"/>
    </xf>
    <xf numFmtId="3" fontId="2" fillId="3" borderId="1" xfId="1" applyNumberFormat="1" applyFont="1" applyFill="1" applyBorder="1" applyAlignment="1">
      <alignment horizontal="right" vertical="center"/>
    </xf>
    <xf numFmtId="3" fontId="5" fillId="3" borderId="1" xfId="1" applyNumberFormat="1" applyFont="1" applyFill="1" applyBorder="1" applyAlignment="1">
      <alignment horizontal="right" vertical="center"/>
    </xf>
    <xf numFmtId="9" fontId="13" fillId="8" borderId="1" xfId="2" applyFont="1" applyFill="1" applyBorder="1" applyAlignment="1">
      <alignment vertical="center"/>
    </xf>
    <xf numFmtId="4" fontId="11" fillId="0" borderId="1" xfId="4" applyNumberFormat="1" applyFont="1" applyBorder="1" applyAlignment="1">
      <alignment horizontal="right" vertical="center" wrapText="1"/>
    </xf>
    <xf numFmtId="4" fontId="3" fillId="0" borderId="1" xfId="4" applyNumberFormat="1" applyFont="1" applyBorder="1" applyAlignment="1">
      <alignment horizontal="right" vertical="center" wrapText="1"/>
    </xf>
    <xf numFmtId="3" fontId="13" fillId="0" borderId="1" xfId="1" applyNumberFormat="1" applyFont="1" applyBorder="1" applyAlignment="1" applyProtection="1">
      <alignment horizontal="right" vertical="center"/>
      <protection hidden="1"/>
    </xf>
    <xf numFmtId="166" fontId="15" fillId="0" borderId="1" xfId="1" applyNumberFormat="1" applyFont="1" applyBorder="1" applyAlignment="1">
      <alignment horizontal="right" vertical="center"/>
    </xf>
    <xf numFmtId="166" fontId="5" fillId="0" borderId="1" xfId="1" applyNumberFormat="1" applyFont="1" applyBorder="1" applyAlignment="1">
      <alignment vertical="center"/>
    </xf>
    <xf numFmtId="0" fontId="13" fillId="9" borderId="1" xfId="0" applyFont="1" applyFill="1" applyBorder="1" applyAlignment="1">
      <alignment horizontal="left" vertical="center"/>
    </xf>
    <xf numFmtId="0" fontId="13" fillId="9" borderId="1" xfId="0" applyFont="1" applyFill="1" applyBorder="1" applyAlignment="1">
      <alignment vertical="center"/>
    </xf>
    <xf numFmtId="3" fontId="13" fillId="9" borderId="1" xfId="1" applyNumberFormat="1" applyFont="1" applyFill="1" applyBorder="1" applyAlignment="1">
      <alignment vertical="center" wrapText="1"/>
    </xf>
    <xf numFmtId="4" fontId="13" fillId="9" borderId="1" xfId="1" applyNumberFormat="1" applyFont="1" applyFill="1" applyBorder="1" applyAlignment="1">
      <alignment vertical="center"/>
    </xf>
    <xf numFmtId="166" fontId="13" fillId="9" borderId="1" xfId="1" applyNumberFormat="1" applyFont="1" applyFill="1" applyBorder="1" applyAlignment="1">
      <alignment horizontal="left" vertical="center" wrapText="1"/>
    </xf>
    <xf numFmtId="9" fontId="13" fillId="9" borderId="1" xfId="2" applyFont="1" applyFill="1" applyBorder="1" applyAlignment="1">
      <alignment vertical="center"/>
    </xf>
    <xf numFmtId="166" fontId="2" fillId="9" borderId="1" xfId="1" applyNumberFormat="1" applyFont="1" applyFill="1" applyBorder="1" applyAlignment="1">
      <alignment horizontal="left" vertical="center"/>
    </xf>
    <xf numFmtId="166" fontId="13" fillId="9" borderId="1" xfId="1" applyNumberFormat="1" applyFont="1" applyFill="1" applyBorder="1" applyAlignment="1">
      <alignment vertical="center"/>
    </xf>
    <xf numFmtId="3" fontId="13" fillId="9" borderId="1" xfId="1" applyNumberFormat="1" applyFont="1" applyFill="1" applyBorder="1" applyAlignment="1">
      <alignment horizontal="right" vertical="center"/>
    </xf>
    <xf numFmtId="0" fontId="13" fillId="9" borderId="0" xfId="0" applyFont="1" applyFill="1" applyAlignment="1">
      <alignment vertical="center"/>
    </xf>
    <xf numFmtId="0" fontId="15" fillId="9" borderId="1" xfId="0" applyFont="1" applyFill="1" applyBorder="1" applyAlignment="1">
      <alignment vertical="center"/>
    </xf>
    <xf numFmtId="166" fontId="13" fillId="9" borderId="1" xfId="1" applyNumberFormat="1" applyFont="1" applyFill="1" applyBorder="1" applyAlignment="1">
      <alignment vertical="center" wrapText="1"/>
    </xf>
    <xf numFmtId="3" fontId="13" fillId="9" borderId="1" xfId="1" applyNumberFormat="1" applyFont="1" applyFill="1" applyBorder="1" applyAlignment="1">
      <alignment vertical="center"/>
    </xf>
    <xf numFmtId="0" fontId="13" fillId="10" borderId="1" xfId="0" applyFont="1" applyFill="1" applyBorder="1" applyAlignment="1">
      <alignment horizontal="left" vertical="center"/>
    </xf>
    <xf numFmtId="3" fontId="11" fillId="10" borderId="1" xfId="1" applyNumberFormat="1" applyFont="1" applyFill="1" applyBorder="1" applyAlignment="1">
      <alignment horizontal="right" vertical="center"/>
    </xf>
    <xf numFmtId="3" fontId="11" fillId="10" borderId="1" xfId="1" applyNumberFormat="1" applyFont="1" applyFill="1" applyBorder="1" applyAlignment="1">
      <alignment vertical="center"/>
    </xf>
    <xf numFmtId="4" fontId="13" fillId="10" borderId="1" xfId="1" applyNumberFormat="1" applyFont="1" applyFill="1" applyBorder="1" applyAlignment="1">
      <alignment vertical="center"/>
    </xf>
    <xf numFmtId="3" fontId="13" fillId="10" borderId="1" xfId="1" applyNumberFormat="1" applyFont="1" applyFill="1" applyBorder="1" applyAlignment="1">
      <alignment horizontal="center" vertical="center"/>
    </xf>
    <xf numFmtId="3" fontId="13" fillId="10" borderId="1" xfId="1" applyNumberFormat="1" applyFont="1" applyFill="1" applyBorder="1" applyAlignment="1">
      <alignment vertical="center"/>
    </xf>
    <xf numFmtId="3" fontId="13" fillId="10" borderId="1" xfId="1" applyNumberFormat="1" applyFont="1" applyFill="1" applyBorder="1" applyAlignment="1">
      <alignment horizontal="right" vertical="center"/>
    </xf>
    <xf numFmtId="9" fontId="13" fillId="10" borderId="1" xfId="2" applyFont="1" applyFill="1" applyBorder="1" applyAlignment="1">
      <alignment vertical="center"/>
    </xf>
    <xf numFmtId="166" fontId="13" fillId="10" borderId="1" xfId="1" applyNumberFormat="1" applyFont="1" applyFill="1" applyBorder="1" applyAlignment="1">
      <alignment horizontal="right" vertical="center"/>
    </xf>
    <xf numFmtId="0" fontId="13" fillId="10" borderId="1" xfId="0" applyFont="1" applyFill="1" applyBorder="1" applyAlignment="1">
      <alignment vertical="center"/>
    </xf>
    <xf numFmtId="3" fontId="11" fillId="10" borderId="1" xfId="3" applyNumberFormat="1" applyFont="1" applyFill="1" applyBorder="1" applyAlignment="1">
      <alignment vertical="center" wrapText="1"/>
    </xf>
    <xf numFmtId="0" fontId="13" fillId="10" borderId="0" xfId="0" applyFont="1" applyFill="1" applyAlignment="1">
      <alignment vertical="center"/>
    </xf>
    <xf numFmtId="0" fontId="15" fillId="10" borderId="1" xfId="0" applyFont="1" applyFill="1" applyBorder="1" applyAlignment="1">
      <alignment vertical="center"/>
    </xf>
    <xf numFmtId="3" fontId="13" fillId="0" borderId="1" xfId="1" applyNumberFormat="1" applyFont="1" applyBorder="1" applyAlignment="1">
      <alignment horizontal="center" vertical="center"/>
    </xf>
    <xf numFmtId="3" fontId="11" fillId="0" borderId="1" xfId="3" applyNumberFormat="1" applyFont="1" applyBorder="1" applyAlignment="1">
      <alignment vertical="center" wrapText="1"/>
    </xf>
    <xf numFmtId="3" fontId="3" fillId="0" borderId="1" xfId="3" applyNumberFormat="1" applyFont="1" applyBorder="1" applyAlignment="1">
      <alignment vertical="center" wrapText="1"/>
    </xf>
    <xf numFmtId="3" fontId="13" fillId="9" borderId="1" xfId="1" applyNumberFormat="1" applyFont="1" applyFill="1" applyBorder="1" applyAlignment="1">
      <alignment horizontal="right" vertical="center" wrapText="1"/>
    </xf>
    <xf numFmtId="0" fontId="13" fillId="9" borderId="1" xfId="0" applyFont="1" applyFill="1" applyBorder="1" applyAlignment="1">
      <alignment horizontal="left" vertical="center" wrapText="1"/>
    </xf>
    <xf numFmtId="166" fontId="13" fillId="9" borderId="1" xfId="1" applyNumberFormat="1" applyFont="1" applyFill="1" applyBorder="1" applyAlignment="1">
      <alignment horizontal="right" vertical="center"/>
    </xf>
    <xf numFmtId="3" fontId="11" fillId="9" borderId="1" xfId="3" applyNumberFormat="1" applyFont="1" applyFill="1" applyBorder="1" applyAlignment="1">
      <alignment vertical="center" wrapText="1"/>
    </xf>
    <xf numFmtId="0" fontId="2" fillId="9" borderId="1" xfId="0" applyFont="1" applyFill="1" applyBorder="1" applyAlignment="1">
      <alignment horizontal="left" vertical="center"/>
    </xf>
    <xf numFmtId="3" fontId="2" fillId="10" borderId="1" xfId="1" applyNumberFormat="1" applyFont="1" applyFill="1" applyBorder="1" applyAlignment="1">
      <alignment horizontal="center" vertical="center"/>
    </xf>
    <xf numFmtId="3" fontId="2" fillId="11" borderId="1" xfId="1" applyNumberFormat="1" applyFont="1" applyFill="1" applyBorder="1" applyAlignment="1">
      <alignment vertical="center"/>
    </xf>
    <xf numFmtId="3" fontId="13" fillId="3" borderId="1" xfId="1" applyNumberFormat="1" applyFont="1" applyFill="1" applyBorder="1" applyAlignment="1">
      <alignment vertical="center"/>
    </xf>
    <xf numFmtId="3" fontId="13" fillId="12" borderId="1" xfId="1" applyNumberFormat="1" applyFont="1" applyFill="1" applyBorder="1" applyAlignment="1">
      <alignment vertical="center"/>
    </xf>
    <xf numFmtId="3" fontId="11" fillId="10" borderId="3" xfId="1" applyNumberFormat="1" applyFont="1" applyFill="1" applyBorder="1" applyAlignment="1">
      <alignment vertical="center"/>
    </xf>
    <xf numFmtId="4" fontId="13" fillId="10" borderId="5" xfId="1" applyNumberFormat="1" applyFont="1" applyFill="1" applyBorder="1" applyAlignment="1">
      <alignment vertical="center"/>
    </xf>
    <xf numFmtId="3" fontId="11" fillId="0" borderId="3" xfId="1" applyNumberFormat="1" applyFont="1" applyBorder="1" applyAlignment="1">
      <alignment vertical="center"/>
    </xf>
    <xf numFmtId="4" fontId="13" fillId="0" borderId="5" xfId="1" applyNumberFormat="1" applyFont="1" applyBorder="1" applyAlignment="1">
      <alignment vertical="center"/>
    </xf>
    <xf numFmtId="3" fontId="13" fillId="13" borderId="1" xfId="1" applyNumberFormat="1" applyFont="1" applyFill="1" applyBorder="1" applyAlignment="1">
      <alignment vertical="center"/>
    </xf>
    <xf numFmtId="3" fontId="3" fillId="0" borderId="3" xfId="1" applyNumberFormat="1" applyFont="1" applyBorder="1" applyAlignment="1">
      <alignment vertical="center"/>
    </xf>
    <xf numFmtId="4" fontId="2" fillId="0" borderId="5" xfId="1" applyNumberFormat="1" applyFont="1" applyBorder="1" applyAlignment="1">
      <alignment vertical="center"/>
    </xf>
    <xf numFmtId="3" fontId="3" fillId="0" borderId="2" xfId="1" applyNumberFormat="1" applyFont="1" applyBorder="1" applyAlignment="1">
      <alignment horizontal="right" vertical="center"/>
    </xf>
    <xf numFmtId="3" fontId="11" fillId="0" borderId="1" xfId="1" applyNumberFormat="1" applyFont="1" applyBorder="1" applyAlignment="1">
      <alignment horizontal="right" vertical="center" wrapText="1"/>
    </xf>
    <xf numFmtId="3" fontId="11" fillId="0" borderId="1" xfId="1" applyNumberFormat="1" applyFont="1" applyBorder="1" applyAlignment="1">
      <alignment vertical="center" wrapText="1"/>
    </xf>
    <xf numFmtId="3" fontId="3" fillId="0" borderId="1" xfId="1" applyNumberFormat="1" applyFont="1" applyBorder="1" applyAlignment="1">
      <alignment horizontal="right" vertical="center" wrapText="1"/>
    </xf>
    <xf numFmtId="3" fontId="3" fillId="0" borderId="1" xfId="1" applyNumberFormat="1" applyFont="1" applyBorder="1" applyAlignment="1">
      <alignment vertical="center" wrapText="1"/>
    </xf>
    <xf numFmtId="166" fontId="13" fillId="10" borderId="1" xfId="1" applyNumberFormat="1" applyFont="1" applyFill="1" applyBorder="1" applyAlignment="1">
      <alignment vertical="center"/>
    </xf>
    <xf numFmtId="3" fontId="11" fillId="11" borderId="1" xfId="1" applyNumberFormat="1" applyFont="1" applyFill="1" applyBorder="1" applyAlignment="1">
      <alignment horizontal="right" vertical="center"/>
    </xf>
    <xf numFmtId="4" fontId="3" fillId="0" borderId="1" xfId="1" applyNumberFormat="1" applyFont="1" applyBorder="1" applyAlignment="1">
      <alignment vertical="center"/>
    </xf>
    <xf numFmtId="4" fontId="13" fillId="9" borderId="1" xfId="1" applyNumberFormat="1" applyFont="1" applyFill="1" applyBorder="1" applyAlignment="1">
      <alignment horizontal="center" vertical="center"/>
    </xf>
    <xf numFmtId="4" fontId="13" fillId="9" borderId="1" xfId="1" applyNumberFormat="1" applyFont="1" applyFill="1" applyBorder="1" applyAlignment="1">
      <alignment horizontal="right" vertical="center"/>
    </xf>
    <xf numFmtId="3" fontId="11" fillId="3" borderId="1" xfId="1" applyNumberFormat="1" applyFont="1" applyFill="1" applyBorder="1" applyAlignment="1">
      <alignment vertical="center"/>
    </xf>
    <xf numFmtId="3" fontId="13" fillId="15" borderId="1" xfId="1" applyNumberFormat="1" applyFont="1" applyFill="1" applyBorder="1" applyAlignment="1">
      <alignment vertical="center"/>
    </xf>
    <xf numFmtId="3" fontId="15" fillId="10" borderId="1" xfId="1" applyNumberFormat="1" applyFont="1" applyFill="1" applyBorder="1" applyAlignment="1">
      <alignment horizontal="right" vertical="center"/>
    </xf>
    <xf numFmtId="4" fontId="13" fillId="9" borderId="1" xfId="1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horizontal="center" vertical="center"/>
    </xf>
    <xf numFmtId="3" fontId="11" fillId="9" borderId="1" xfId="1" applyNumberFormat="1" applyFont="1" applyFill="1" applyBorder="1" applyAlignment="1">
      <alignment vertical="center"/>
    </xf>
    <xf numFmtId="166" fontId="11" fillId="9" borderId="1" xfId="1" applyNumberFormat="1" applyFont="1" applyFill="1" applyBorder="1" applyAlignment="1">
      <alignment vertical="center"/>
    </xf>
    <xf numFmtId="4" fontId="11" fillId="9" borderId="1" xfId="1" applyNumberFormat="1" applyFont="1" applyFill="1" applyBorder="1" applyAlignment="1">
      <alignment vertical="center"/>
    </xf>
    <xf numFmtId="3" fontId="11" fillId="9" borderId="1" xfId="1" applyNumberFormat="1" applyFont="1" applyFill="1" applyBorder="1" applyAlignment="1">
      <alignment horizontal="right" vertical="center"/>
    </xf>
    <xf numFmtId="166" fontId="13" fillId="0" borderId="1" xfId="0" applyNumberFormat="1" applyFont="1" applyBorder="1" applyAlignment="1">
      <alignment vertical="center"/>
    </xf>
    <xf numFmtId="166" fontId="15" fillId="0" borderId="1" xfId="0" applyNumberFormat="1" applyFont="1" applyBorder="1" applyAlignment="1">
      <alignment vertical="center"/>
    </xf>
    <xf numFmtId="166" fontId="13" fillId="9" borderId="1" xfId="0" applyNumberFormat="1" applyFont="1" applyFill="1" applyBorder="1" applyAlignment="1">
      <alignment horizontal="left" vertical="center" wrapText="1"/>
    </xf>
    <xf numFmtId="4" fontId="11" fillId="10" borderId="1" xfId="1" applyNumberFormat="1" applyFont="1" applyFill="1" applyBorder="1" applyAlignment="1">
      <alignment vertical="center"/>
    </xf>
    <xf numFmtId="168" fontId="13" fillId="0" borderId="1" xfId="0" applyNumberFormat="1" applyFont="1" applyBorder="1" applyAlignment="1">
      <alignment vertical="center"/>
    </xf>
    <xf numFmtId="3" fontId="2" fillId="3" borderId="1" xfId="1" applyNumberFormat="1" applyFont="1" applyFill="1" applyBorder="1" applyAlignment="1">
      <alignment vertical="center"/>
    </xf>
    <xf numFmtId="168" fontId="5" fillId="0" borderId="1" xfId="0" applyNumberFormat="1" applyFont="1" applyBorder="1" applyAlignment="1">
      <alignment vertical="center"/>
    </xf>
    <xf numFmtId="4" fontId="15" fillId="10" borderId="1" xfId="1" applyNumberFormat="1" applyFont="1" applyFill="1" applyBorder="1" applyAlignment="1">
      <alignment vertical="center"/>
    </xf>
    <xf numFmtId="3" fontId="2" fillId="14" borderId="1" xfId="1" applyNumberFormat="1" applyFont="1" applyFill="1" applyBorder="1" applyAlignment="1">
      <alignment vertical="center"/>
    </xf>
    <xf numFmtId="0" fontId="13" fillId="16" borderId="1" xfId="0" applyFont="1" applyFill="1" applyBorder="1" applyAlignment="1">
      <alignment horizontal="left" vertical="center"/>
    </xf>
    <xf numFmtId="3" fontId="11" fillId="16" borderId="1" xfId="1" applyNumberFormat="1" applyFont="1" applyFill="1" applyBorder="1" applyAlignment="1">
      <alignment horizontal="right" vertical="center"/>
    </xf>
    <xf numFmtId="0" fontId="11" fillId="16" borderId="1" xfId="1" applyNumberFormat="1" applyFont="1" applyFill="1" applyBorder="1" applyAlignment="1">
      <alignment horizontal="center" vertical="center" wrapText="1"/>
    </xf>
    <xf numFmtId="166" fontId="11" fillId="16" borderId="1" xfId="1" applyNumberFormat="1" applyFont="1" applyFill="1" applyBorder="1" applyAlignment="1">
      <alignment horizontal="left" vertical="center" wrapText="1"/>
    </xf>
    <xf numFmtId="166" fontId="11" fillId="16" borderId="1" xfId="1" applyNumberFormat="1" applyFont="1" applyFill="1" applyBorder="1" applyAlignment="1">
      <alignment horizontal="left" vertical="center"/>
    </xf>
    <xf numFmtId="166" fontId="11" fillId="16" borderId="1" xfId="1" applyNumberFormat="1" applyFont="1" applyFill="1" applyBorder="1" applyAlignment="1">
      <alignment horizontal="center" vertical="center"/>
    </xf>
    <xf numFmtId="4" fontId="11" fillId="16" borderId="1" xfId="1" applyNumberFormat="1" applyFont="1" applyFill="1" applyBorder="1" applyAlignment="1">
      <alignment horizontal="right" vertical="center"/>
    </xf>
    <xf numFmtId="3" fontId="11" fillId="16" borderId="1" xfId="1" applyNumberFormat="1" applyFont="1" applyFill="1" applyBorder="1" applyAlignment="1">
      <alignment vertical="center"/>
    </xf>
    <xf numFmtId="166" fontId="11" fillId="16" borderId="1" xfId="1" applyNumberFormat="1" applyFont="1" applyFill="1" applyBorder="1" applyAlignment="1">
      <alignment vertical="center"/>
    </xf>
    <xf numFmtId="166" fontId="11" fillId="16" borderId="1" xfId="1" applyNumberFormat="1" applyFont="1" applyFill="1" applyBorder="1" applyAlignment="1">
      <alignment horizontal="right" vertical="center"/>
    </xf>
    <xf numFmtId="166" fontId="13" fillId="16" borderId="1" xfId="1" applyNumberFormat="1" applyFont="1" applyFill="1" applyBorder="1" applyAlignment="1">
      <alignment vertical="center"/>
    </xf>
    <xf numFmtId="0" fontId="13" fillId="16" borderId="0" xfId="0" applyFont="1" applyFill="1" applyAlignment="1">
      <alignment vertical="center"/>
    </xf>
    <xf numFmtId="166" fontId="13" fillId="16" borderId="1" xfId="0" applyNumberFormat="1" applyFont="1" applyFill="1" applyBorder="1" applyAlignment="1">
      <alignment vertical="center"/>
    </xf>
    <xf numFmtId="166" fontId="15" fillId="16" borderId="1" xfId="0" applyNumberFormat="1" applyFont="1" applyFill="1" applyBorder="1" applyAlignment="1">
      <alignment vertical="center"/>
    </xf>
    <xf numFmtId="0" fontId="13" fillId="16" borderId="1" xfId="0" applyFont="1" applyFill="1" applyBorder="1" applyAlignment="1">
      <alignment vertical="center"/>
    </xf>
    <xf numFmtId="0" fontId="15" fillId="16" borderId="1" xfId="0" applyFont="1" applyFill="1" applyBorder="1" applyAlignment="1">
      <alignment vertical="center"/>
    </xf>
    <xf numFmtId="3" fontId="3" fillId="6" borderId="1" xfId="1" applyNumberFormat="1" applyFont="1" applyFill="1" applyBorder="1" applyAlignment="1">
      <alignment horizontal="right" vertical="center"/>
    </xf>
    <xf numFmtId="0" fontId="3" fillId="6" borderId="1" xfId="1" applyNumberFormat="1" applyFont="1" applyFill="1" applyBorder="1" applyAlignment="1">
      <alignment horizontal="center" vertical="center" wrapText="1"/>
    </xf>
    <xf numFmtId="166" fontId="3" fillId="6" borderId="1" xfId="1" applyNumberFormat="1" applyFont="1" applyFill="1" applyBorder="1" applyAlignment="1">
      <alignment horizontal="left" vertical="center" wrapText="1"/>
    </xf>
    <xf numFmtId="166" fontId="3" fillId="6" borderId="1" xfId="1" applyNumberFormat="1" applyFont="1" applyFill="1" applyBorder="1" applyAlignment="1">
      <alignment horizontal="left" vertical="center"/>
    </xf>
    <xf numFmtId="166" fontId="3" fillId="6" borderId="1" xfId="1" applyNumberFormat="1" applyFont="1" applyFill="1" applyBorder="1" applyAlignment="1">
      <alignment horizontal="center" vertical="center"/>
    </xf>
    <xf numFmtId="4" fontId="3" fillId="6" borderId="1" xfId="1" applyNumberFormat="1" applyFont="1" applyFill="1" applyBorder="1" applyAlignment="1">
      <alignment horizontal="right" vertical="center"/>
    </xf>
    <xf numFmtId="3" fontId="3" fillId="6" borderId="1" xfId="1" applyNumberFormat="1" applyFont="1" applyFill="1" applyBorder="1" applyAlignment="1">
      <alignment vertical="center"/>
    </xf>
    <xf numFmtId="166" fontId="3" fillId="6" borderId="1" xfId="1" applyNumberFormat="1" applyFont="1" applyFill="1" applyBorder="1" applyAlignment="1">
      <alignment vertical="center"/>
    </xf>
    <xf numFmtId="166" fontId="3" fillId="6" borderId="1" xfId="1" applyNumberFormat="1" applyFont="1" applyFill="1" applyBorder="1" applyAlignment="1">
      <alignment horizontal="right" vertical="center"/>
    </xf>
    <xf numFmtId="3" fontId="11" fillId="7" borderId="1" xfId="1" applyNumberFormat="1" applyFont="1" applyFill="1" applyBorder="1" applyAlignment="1">
      <alignment horizontal="right" vertical="center"/>
    </xf>
    <xf numFmtId="0" fontId="11" fillId="7" borderId="1" xfId="1" applyNumberFormat="1" applyFont="1" applyFill="1" applyBorder="1" applyAlignment="1">
      <alignment horizontal="center" vertical="center" wrapText="1"/>
    </xf>
    <xf numFmtId="166" fontId="11" fillId="7" borderId="1" xfId="1" applyNumberFormat="1" applyFont="1" applyFill="1" applyBorder="1" applyAlignment="1">
      <alignment horizontal="left" vertical="center"/>
    </xf>
    <xf numFmtId="166" fontId="11" fillId="7" borderId="1" xfId="1" applyNumberFormat="1" applyFont="1" applyFill="1" applyBorder="1" applyAlignment="1">
      <alignment horizontal="center" vertical="center"/>
    </xf>
    <xf numFmtId="4" fontId="11" fillId="7" borderId="1" xfId="1" applyNumberFormat="1" applyFont="1" applyFill="1" applyBorder="1" applyAlignment="1">
      <alignment horizontal="right" vertical="center"/>
    </xf>
    <xf numFmtId="166" fontId="11" fillId="7" borderId="1" xfId="1" applyNumberFormat="1" applyFont="1" applyFill="1" applyBorder="1" applyAlignment="1">
      <alignment vertical="center"/>
    </xf>
    <xf numFmtId="166" fontId="11" fillId="7" borderId="1" xfId="1" applyNumberFormat="1" applyFont="1" applyFill="1" applyBorder="1" applyAlignment="1">
      <alignment horizontal="right" vertical="center"/>
    </xf>
    <xf numFmtId="0" fontId="3" fillId="0" borderId="1" xfId="1" applyNumberFormat="1" applyFont="1" applyBorder="1" applyAlignment="1">
      <alignment horizontal="center" vertical="center" wrapText="1"/>
    </xf>
    <xf numFmtId="166" fontId="11" fillId="0" borderId="1" xfId="1" applyNumberFormat="1" applyFont="1" applyBorder="1" applyAlignment="1">
      <alignment horizontal="left" vertical="center" wrapText="1"/>
    </xf>
    <xf numFmtId="166" fontId="13" fillId="0" borderId="1" xfId="1" applyNumberFormat="1" applyFont="1" applyBorder="1" applyAlignment="1">
      <alignment horizontal="left" vertical="center"/>
    </xf>
    <xf numFmtId="166" fontId="13" fillId="0" borderId="1" xfId="1" applyNumberFormat="1" applyFont="1" applyBorder="1" applyAlignment="1">
      <alignment horizontal="center" vertical="center"/>
    </xf>
    <xf numFmtId="4" fontId="13" fillId="0" borderId="1" xfId="1" applyNumberFormat="1" applyFont="1" applyBorder="1" applyAlignment="1">
      <alignment horizontal="right" vertical="center"/>
    </xf>
    <xf numFmtId="166" fontId="13" fillId="0" borderId="1" xfId="1" applyNumberFormat="1" applyFont="1" applyBorder="1" applyAlignment="1">
      <alignment horizontal="left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3" fillId="14" borderId="1" xfId="1" applyNumberFormat="1" applyFont="1" applyFill="1" applyBorder="1" applyAlignment="1">
      <alignment horizontal="right" vertical="center"/>
    </xf>
    <xf numFmtId="4" fontId="2" fillId="0" borderId="1" xfId="1" applyNumberFormat="1" applyFont="1" applyBorder="1" applyAlignment="1">
      <alignment horizontal="right" vertical="center"/>
    </xf>
    <xf numFmtId="3" fontId="2" fillId="14" borderId="1" xfId="1" applyNumberFormat="1" applyFont="1" applyFill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/>
    <xf numFmtId="3" fontId="3" fillId="0" borderId="1" xfId="0" applyNumberFormat="1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/>
    <xf numFmtId="3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0" fontId="13" fillId="7" borderId="2" xfId="0" applyFont="1" applyFill="1" applyBorder="1" applyAlignment="1">
      <alignment horizontal="left" vertical="center"/>
    </xf>
    <xf numFmtId="3" fontId="11" fillId="7" borderId="2" xfId="1" applyNumberFormat="1" applyFont="1" applyFill="1" applyBorder="1" applyAlignment="1">
      <alignment horizontal="right" vertical="center"/>
    </xf>
    <xf numFmtId="0" fontId="11" fillId="7" borderId="2" xfId="1" applyNumberFormat="1" applyFont="1" applyFill="1" applyBorder="1" applyAlignment="1">
      <alignment horizontal="center" vertical="center" wrapText="1"/>
    </xf>
    <xf numFmtId="166" fontId="11" fillId="7" borderId="2" xfId="1" applyNumberFormat="1" applyFont="1" applyFill="1" applyBorder="1" applyAlignment="1">
      <alignment horizontal="left" vertical="center" wrapText="1"/>
    </xf>
    <xf numFmtId="166" fontId="11" fillId="7" borderId="2" xfId="1" applyNumberFormat="1" applyFont="1" applyFill="1" applyBorder="1" applyAlignment="1">
      <alignment horizontal="left" vertical="center"/>
    </xf>
    <xf numFmtId="166" fontId="11" fillId="7" borderId="2" xfId="1" applyNumberFormat="1" applyFont="1" applyFill="1" applyBorder="1" applyAlignment="1">
      <alignment horizontal="center" vertical="center"/>
    </xf>
    <xf numFmtId="4" fontId="11" fillId="7" borderId="2" xfId="1" applyNumberFormat="1" applyFont="1" applyFill="1" applyBorder="1" applyAlignment="1">
      <alignment horizontal="right" vertical="center"/>
    </xf>
    <xf numFmtId="166" fontId="11" fillId="7" borderId="2" xfId="1" applyNumberFormat="1" applyFont="1" applyFill="1" applyBorder="1" applyAlignment="1">
      <alignment horizontal="right" vertical="center"/>
    </xf>
    <xf numFmtId="166" fontId="11" fillId="7" borderId="2" xfId="1" applyNumberFormat="1" applyFont="1" applyFill="1" applyBorder="1" applyAlignment="1">
      <alignment vertical="center"/>
    </xf>
    <xf numFmtId="166" fontId="13" fillId="7" borderId="2" xfId="1" applyNumberFormat="1" applyFont="1" applyFill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3" fontId="13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3" fontId="1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3" fontId="2" fillId="0" borderId="13" xfId="0" applyNumberFormat="1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right" vertical="center"/>
    </xf>
    <xf numFmtId="3" fontId="20" fillId="2" borderId="0" xfId="5" applyNumberFormat="1" applyFont="1" applyFill="1" applyAlignment="1">
      <alignment horizontal="left" vertical="center"/>
    </xf>
    <xf numFmtId="166" fontId="2" fillId="0" borderId="0" xfId="1" applyNumberFormat="1" applyFont="1" applyAlignment="1">
      <alignment horizontal="left" vertical="center" wrapText="1"/>
    </xf>
    <xf numFmtId="0" fontId="21" fillId="0" borderId="0" xfId="0" applyFont="1"/>
    <xf numFmtId="3" fontId="20" fillId="2" borderId="0" xfId="5" applyNumberFormat="1" applyFont="1" applyFill="1" applyAlignment="1">
      <alignment horizontal="right" vertical="center"/>
    </xf>
    <xf numFmtId="3" fontId="2" fillId="0" borderId="0" xfId="1" applyNumberFormat="1" applyFont="1" applyAlignment="1">
      <alignment vertical="center"/>
    </xf>
    <xf numFmtId="166" fontId="2" fillId="0" borderId="0" xfId="1" applyNumberFormat="1" applyFont="1" applyAlignment="1">
      <alignment horizontal="center" vertical="center"/>
    </xf>
    <xf numFmtId="166" fontId="3" fillId="0" borderId="0" xfId="1" applyNumberFormat="1" applyFont="1" applyAlignment="1">
      <alignment horizontal="left" vertical="center"/>
    </xf>
    <xf numFmtId="166" fontId="2" fillId="0" borderId="0" xfId="1" applyNumberFormat="1" applyFont="1" applyAlignment="1">
      <alignment horizontal="left" vertical="center"/>
    </xf>
    <xf numFmtId="4" fontId="2" fillId="0" borderId="0" xfId="1" applyNumberFormat="1" applyFont="1" applyAlignment="1">
      <alignment vertical="center"/>
    </xf>
    <xf numFmtId="4" fontId="20" fillId="2" borderId="0" xfId="5" applyNumberFormat="1" applyFont="1" applyFill="1" applyAlignment="1">
      <alignment vertical="center"/>
    </xf>
    <xf numFmtId="0" fontId="22" fillId="0" borderId="0" xfId="0" applyFont="1"/>
    <xf numFmtId="3" fontId="23" fillId="0" borderId="0" xfId="0" applyNumberFormat="1" applyFont="1" applyAlignment="1">
      <alignment horizontal="left"/>
    </xf>
    <xf numFmtId="3" fontId="3" fillId="2" borderId="0" xfId="5" applyNumberFormat="1" applyFont="1" applyFill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 wrapText="1"/>
    </xf>
    <xf numFmtId="3" fontId="23" fillId="0" borderId="0" xfId="0" applyNumberFormat="1" applyFont="1"/>
    <xf numFmtId="3" fontId="23" fillId="0" borderId="0" xfId="0" applyNumberFormat="1" applyFont="1" applyAlignment="1">
      <alignment horizontal="center"/>
    </xf>
    <xf numFmtId="3" fontId="24" fillId="0" borderId="0" xfId="0" applyNumberFormat="1" applyFont="1" applyAlignment="1">
      <alignment horizontal="left"/>
    </xf>
    <xf numFmtId="4" fontId="23" fillId="0" borderId="0" xfId="0" applyNumberFormat="1" applyFont="1"/>
    <xf numFmtId="3" fontId="23" fillId="0" borderId="0" xfId="0" applyNumberFormat="1" applyFont="1" applyAlignment="1">
      <alignment horizontal="left" wrapText="1"/>
    </xf>
    <xf numFmtId="3" fontId="6" fillId="0" borderId="0" xfId="0" applyNumberFormat="1" applyFont="1" applyAlignment="1">
      <alignment horizontal="right" vertical="center"/>
    </xf>
    <xf numFmtId="0" fontId="13" fillId="7" borderId="1" xfId="0" applyFont="1" applyFill="1" applyBorder="1" applyAlignment="1">
      <alignment horizontal="center" vertical="center"/>
    </xf>
    <xf numFmtId="0" fontId="13" fillId="7" borderId="2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left" vertical="center" wrapText="1"/>
    </xf>
    <xf numFmtId="0" fontId="13" fillId="7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6" fontId="13" fillId="0" borderId="2" xfId="1" applyNumberFormat="1" applyFont="1" applyBorder="1" applyAlignment="1">
      <alignment horizontal="left" vertical="center"/>
    </xf>
    <xf numFmtId="166" fontId="13" fillId="0" borderId="7" xfId="1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3" fillId="0" borderId="7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right" vertical="center"/>
    </xf>
    <xf numFmtId="0" fontId="13" fillId="16" borderId="1" xfId="0" applyFont="1" applyFill="1" applyBorder="1" applyAlignment="1">
      <alignment horizontal="center" vertical="center"/>
    </xf>
    <xf numFmtId="0" fontId="13" fillId="16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11" borderId="1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3" fontId="2" fillId="0" borderId="2" xfId="1" applyNumberFormat="1" applyFont="1" applyBorder="1" applyAlignment="1">
      <alignment horizontal="right" vertical="center"/>
    </xf>
    <xf numFmtId="3" fontId="2" fillId="0" borderId="6" xfId="1" applyNumberFormat="1" applyFont="1" applyBorder="1" applyAlignment="1">
      <alignment horizontal="right" vertical="center"/>
    </xf>
    <xf numFmtId="3" fontId="2" fillId="0" borderId="7" xfId="1" applyNumberFormat="1" applyFont="1" applyBorder="1" applyAlignment="1">
      <alignment horizontal="right" vertical="center"/>
    </xf>
    <xf numFmtId="0" fontId="2" fillId="11" borderId="2" xfId="0" applyFont="1" applyFill="1" applyBorder="1" applyAlignment="1">
      <alignment horizontal="left" vertical="center" wrapText="1"/>
    </xf>
    <xf numFmtId="0" fontId="2" fillId="11" borderId="6" xfId="0" applyFont="1" applyFill="1" applyBorder="1" applyAlignment="1">
      <alignment horizontal="left" vertical="center" wrapText="1"/>
    </xf>
    <xf numFmtId="0" fontId="2" fillId="11" borderId="7" xfId="0" applyFont="1" applyFill="1" applyBorder="1" applyAlignment="1">
      <alignment horizontal="left" vertical="center" wrapText="1"/>
    </xf>
    <xf numFmtId="0" fontId="3" fillId="11" borderId="2" xfId="0" applyFont="1" applyFill="1" applyBorder="1" applyAlignment="1">
      <alignment horizontal="left" vertical="center" wrapText="1"/>
    </xf>
    <xf numFmtId="0" fontId="3" fillId="11" borderId="6" xfId="0" applyFont="1" applyFill="1" applyBorder="1" applyAlignment="1">
      <alignment horizontal="left" vertical="center" wrapText="1"/>
    </xf>
    <xf numFmtId="0" fontId="3" fillId="11" borderId="7" xfId="0" applyFont="1" applyFill="1" applyBorder="1" applyAlignment="1">
      <alignment horizontal="left" vertical="center" wrapText="1"/>
    </xf>
    <xf numFmtId="166" fontId="13" fillId="10" borderId="2" xfId="0" applyNumberFormat="1" applyFont="1" applyFill="1" applyBorder="1" applyAlignment="1">
      <alignment horizontal="center" vertical="center"/>
    </xf>
    <xf numFmtId="0" fontId="13" fillId="10" borderId="6" xfId="0" applyFont="1" applyFill="1" applyBorder="1" applyAlignment="1">
      <alignment horizontal="center" vertical="center"/>
    </xf>
    <xf numFmtId="3" fontId="13" fillId="10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right" vertical="center"/>
    </xf>
    <xf numFmtId="0" fontId="3" fillId="7" borderId="2" xfId="0" applyFont="1" applyFill="1" applyBorder="1" applyAlignment="1">
      <alignment horizontal="left" vertical="center" wrapText="1"/>
    </xf>
    <xf numFmtId="0" fontId="3" fillId="7" borderId="6" xfId="0" applyFont="1" applyFill="1" applyBorder="1" applyAlignment="1">
      <alignment horizontal="left" vertical="center" wrapText="1"/>
    </xf>
    <xf numFmtId="0" fontId="3" fillId="7" borderId="7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left" vertical="center" wrapText="1"/>
    </xf>
    <xf numFmtId="0" fontId="2" fillId="7" borderId="6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3" fillId="0" borderId="2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3" fontId="3" fillId="0" borderId="2" xfId="1" applyNumberFormat="1" applyFont="1" applyBorder="1" applyAlignment="1">
      <alignment horizontal="right" vertical="center"/>
    </xf>
    <xf numFmtId="3" fontId="3" fillId="0" borderId="6" xfId="1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13" fillId="9" borderId="8" xfId="0" applyFont="1" applyFill="1" applyBorder="1" applyAlignment="1">
      <alignment horizontal="left" vertical="center" wrapText="1"/>
    </xf>
    <xf numFmtId="0" fontId="13" fillId="9" borderId="9" xfId="0" applyFont="1" applyFill="1" applyBorder="1" applyAlignment="1">
      <alignment horizontal="left" vertical="center" wrapText="1"/>
    </xf>
    <xf numFmtId="0" fontId="13" fillId="9" borderId="10" xfId="0" applyFont="1" applyFill="1" applyBorder="1" applyAlignment="1">
      <alignment horizontal="left" vertical="center" wrapText="1"/>
    </xf>
    <xf numFmtId="0" fontId="13" fillId="9" borderId="11" xfId="0" applyFont="1" applyFill="1" applyBorder="1" applyAlignment="1">
      <alignment horizontal="left" vertical="center" wrapText="1"/>
    </xf>
    <xf numFmtId="0" fontId="13" fillId="9" borderId="2" xfId="0" applyFont="1" applyFill="1" applyBorder="1" applyAlignment="1">
      <alignment horizontal="center" vertical="center" wrapText="1"/>
    </xf>
    <xf numFmtId="0" fontId="13" fillId="9" borderId="7" xfId="0" applyFont="1" applyFill="1" applyBorder="1" applyAlignment="1">
      <alignment horizontal="center" vertical="center" wrapText="1"/>
    </xf>
    <xf numFmtId="3" fontId="13" fillId="9" borderId="1" xfId="1" applyNumberFormat="1" applyFont="1" applyFill="1" applyBorder="1" applyAlignment="1">
      <alignment horizontal="right" vertical="center"/>
    </xf>
    <xf numFmtId="0" fontId="3" fillId="0" borderId="7" xfId="1" applyNumberFormat="1" applyFont="1" applyBorder="1" applyAlignment="1">
      <alignment horizontal="center" vertical="center" wrapText="1"/>
    </xf>
    <xf numFmtId="3" fontId="3" fillId="0" borderId="7" xfId="1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11" borderId="1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11" borderId="9" xfId="0" applyFont="1" applyFill="1" applyBorder="1" applyAlignment="1">
      <alignment horizontal="left" vertical="center" wrapText="1"/>
    </xf>
    <xf numFmtId="0" fontId="2" fillId="11" borderId="12" xfId="0" applyFont="1" applyFill="1" applyBorder="1" applyAlignment="1">
      <alignment horizontal="left" vertical="center" wrapText="1"/>
    </xf>
    <xf numFmtId="0" fontId="2" fillId="11" borderId="11" xfId="0" applyFont="1" applyFill="1" applyBorder="1" applyAlignment="1">
      <alignment horizontal="left" vertical="center" wrapText="1"/>
    </xf>
    <xf numFmtId="3" fontId="13" fillId="9" borderId="2" xfId="1" applyNumberFormat="1" applyFont="1" applyFill="1" applyBorder="1" applyAlignment="1">
      <alignment horizontal="right" vertical="center"/>
    </xf>
    <xf numFmtId="3" fontId="13" fillId="9" borderId="7" xfId="1" applyNumberFormat="1" applyFont="1" applyFill="1" applyBorder="1" applyAlignment="1">
      <alignment horizontal="right" vertical="center"/>
    </xf>
    <xf numFmtId="0" fontId="3" fillId="0" borderId="2" xfId="4" applyFont="1" applyBorder="1" applyAlignment="1">
      <alignment horizontal="left" vertical="center" wrapText="1"/>
    </xf>
    <xf numFmtId="0" fontId="3" fillId="0" borderId="6" xfId="4" applyFont="1" applyBorder="1" applyAlignment="1">
      <alignment horizontal="left" vertical="center" wrapText="1"/>
    </xf>
    <xf numFmtId="0" fontId="3" fillId="0" borderId="7" xfId="4" applyFont="1" applyBorder="1" applyAlignment="1">
      <alignment horizontal="left" vertical="center" wrapText="1"/>
    </xf>
    <xf numFmtId="166" fontId="13" fillId="9" borderId="8" xfId="1" applyNumberFormat="1" applyFont="1" applyFill="1" applyBorder="1" applyAlignment="1">
      <alignment horizontal="left" vertical="center" wrapText="1"/>
    </xf>
    <xf numFmtId="166" fontId="13" fillId="9" borderId="9" xfId="1" applyNumberFormat="1" applyFont="1" applyFill="1" applyBorder="1" applyAlignment="1">
      <alignment horizontal="left" vertical="center" wrapText="1"/>
    </xf>
    <xf numFmtId="166" fontId="13" fillId="9" borderId="10" xfId="1" applyNumberFormat="1" applyFont="1" applyFill="1" applyBorder="1" applyAlignment="1">
      <alignment horizontal="left" vertical="center" wrapText="1"/>
    </xf>
    <xf numFmtId="166" fontId="13" fillId="9" borderId="11" xfId="1" applyNumberFormat="1" applyFont="1" applyFill="1" applyBorder="1" applyAlignment="1">
      <alignment horizontal="left" vertical="center" wrapText="1"/>
    </xf>
    <xf numFmtId="166" fontId="13" fillId="9" borderId="2" xfId="1" applyNumberFormat="1" applyFont="1" applyFill="1" applyBorder="1" applyAlignment="1">
      <alignment horizontal="center" vertical="center"/>
    </xf>
    <xf numFmtId="166" fontId="13" fillId="9" borderId="7" xfId="1" applyNumberFormat="1" applyFont="1" applyFill="1" applyBorder="1" applyAlignment="1">
      <alignment horizontal="center" vertical="center"/>
    </xf>
    <xf numFmtId="0" fontId="2" fillId="13" borderId="9" xfId="0" applyFont="1" applyFill="1" applyBorder="1" applyAlignment="1">
      <alignment horizontal="left" vertical="center" wrapText="1"/>
    </xf>
    <xf numFmtId="0" fontId="2" fillId="13" borderId="12" xfId="0" applyFont="1" applyFill="1" applyBorder="1" applyAlignment="1">
      <alignment horizontal="left" vertical="center" wrapText="1"/>
    </xf>
    <xf numFmtId="0" fontId="2" fillId="13" borderId="1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14" borderId="2" xfId="0" applyFont="1" applyFill="1" applyBorder="1" applyAlignment="1">
      <alignment horizontal="left" vertical="center" wrapText="1"/>
    </xf>
    <xf numFmtId="0" fontId="3" fillId="14" borderId="6" xfId="0" applyFont="1" applyFill="1" applyBorder="1" applyAlignment="1">
      <alignment horizontal="left" vertical="center" wrapText="1"/>
    </xf>
    <xf numFmtId="0" fontId="3" fillId="14" borderId="7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left" vertical="center" wrapText="1"/>
    </xf>
    <xf numFmtId="166" fontId="2" fillId="0" borderId="2" xfId="1" applyNumberFormat="1" applyFont="1" applyBorder="1" applyAlignment="1">
      <alignment horizontal="center" vertical="center"/>
    </xf>
    <xf numFmtId="166" fontId="2" fillId="0" borderId="6" xfId="1" applyNumberFormat="1" applyFont="1" applyBorder="1" applyAlignment="1">
      <alignment horizontal="center" vertical="center"/>
    </xf>
    <xf numFmtId="166" fontId="2" fillId="0" borderId="7" xfId="1" applyNumberFormat="1" applyFont="1" applyBorder="1" applyAlignment="1">
      <alignment horizontal="center" vertical="center"/>
    </xf>
    <xf numFmtId="166" fontId="2" fillId="0" borderId="2" xfId="1" applyNumberFormat="1" applyFont="1" applyBorder="1" applyAlignment="1">
      <alignment horizontal="left" vertical="center" wrapText="1"/>
    </xf>
    <xf numFmtId="166" fontId="2" fillId="0" borderId="6" xfId="1" applyNumberFormat="1" applyFont="1" applyBorder="1" applyAlignment="1">
      <alignment horizontal="left" vertical="center" wrapText="1"/>
    </xf>
    <xf numFmtId="166" fontId="2" fillId="0" borderId="7" xfId="1" applyNumberFormat="1" applyFont="1" applyBorder="1" applyAlignment="1">
      <alignment horizontal="left" vertical="center" wrapText="1"/>
    </xf>
    <xf numFmtId="166" fontId="13" fillId="0" borderId="6" xfId="1" applyNumberFormat="1" applyFont="1" applyBorder="1" applyAlignment="1">
      <alignment horizontal="left" vertical="center"/>
    </xf>
    <xf numFmtId="0" fontId="2" fillId="7" borderId="1" xfId="0" applyFont="1" applyFill="1" applyBorder="1" applyAlignment="1">
      <alignment horizontal="center" vertical="center"/>
    </xf>
    <xf numFmtId="166" fontId="13" fillId="7" borderId="2" xfId="1" applyNumberFormat="1" applyFont="1" applyFill="1" applyBorder="1" applyAlignment="1">
      <alignment horizontal="left" vertical="center"/>
    </xf>
    <xf numFmtId="166" fontId="13" fillId="7" borderId="6" xfId="1" applyNumberFormat="1" applyFont="1" applyFill="1" applyBorder="1" applyAlignment="1">
      <alignment horizontal="left" vertical="center"/>
    </xf>
    <xf numFmtId="166" fontId="13" fillId="7" borderId="7" xfId="1" applyNumberFormat="1" applyFont="1" applyFill="1" applyBorder="1" applyAlignment="1">
      <alignment horizontal="left" vertical="center"/>
    </xf>
    <xf numFmtId="0" fontId="2" fillId="0" borderId="2" xfId="1" applyNumberFormat="1" applyFont="1" applyBorder="1" applyAlignment="1">
      <alignment horizontal="center" vertical="center" wrapText="1"/>
    </xf>
    <xf numFmtId="0" fontId="2" fillId="0" borderId="6" xfId="1" applyNumberFormat="1" applyFont="1" applyBorder="1" applyAlignment="1">
      <alignment horizontal="center" vertical="center" wrapText="1"/>
    </xf>
    <xf numFmtId="0" fontId="2" fillId="0" borderId="7" xfId="1" applyNumberFormat="1" applyFont="1" applyBorder="1" applyAlignment="1">
      <alignment horizontal="center" vertical="center" wrapText="1"/>
    </xf>
    <xf numFmtId="166" fontId="3" fillId="0" borderId="2" xfId="1" applyNumberFormat="1" applyFont="1" applyBorder="1" applyAlignment="1">
      <alignment horizontal="left" vertical="center" wrapText="1"/>
    </xf>
    <xf numFmtId="166" fontId="3" fillId="0" borderId="6" xfId="1" applyNumberFormat="1" applyFont="1" applyBorder="1" applyAlignment="1">
      <alignment horizontal="left" vertical="center" wrapText="1"/>
    </xf>
    <xf numFmtId="166" fontId="3" fillId="0" borderId="7" xfId="1" applyNumberFormat="1" applyFont="1" applyBorder="1" applyAlignment="1">
      <alignment horizontal="left" vertical="center" wrapText="1"/>
    </xf>
    <xf numFmtId="166" fontId="5" fillId="0" borderId="2" xfId="1" applyNumberFormat="1" applyFont="1" applyBorder="1" applyAlignment="1">
      <alignment horizontal="left" vertical="center" wrapText="1"/>
    </xf>
    <xf numFmtId="166" fontId="5" fillId="0" borderId="6" xfId="1" applyNumberFormat="1" applyFont="1" applyBorder="1" applyAlignment="1">
      <alignment horizontal="left" vertical="center" wrapText="1"/>
    </xf>
    <xf numFmtId="166" fontId="5" fillId="0" borderId="7" xfId="1" applyNumberFormat="1" applyFont="1" applyBorder="1" applyAlignment="1">
      <alignment horizontal="left" vertical="center" wrapText="1"/>
    </xf>
    <xf numFmtId="3" fontId="3" fillId="0" borderId="2" xfId="4" applyNumberFormat="1" applyFont="1" applyBorder="1" applyAlignment="1">
      <alignment horizontal="left" vertical="center" wrapText="1"/>
    </xf>
    <xf numFmtId="3" fontId="3" fillId="0" borderId="6" xfId="4" applyNumberFormat="1" applyFont="1" applyBorder="1" applyAlignment="1">
      <alignment horizontal="left" vertical="center" wrapText="1"/>
    </xf>
    <xf numFmtId="3" fontId="3" fillId="0" borderId="7" xfId="4" applyNumberFormat="1" applyFont="1" applyBorder="1" applyAlignment="1">
      <alignment horizontal="left" vertical="center" wrapText="1"/>
    </xf>
    <xf numFmtId="0" fontId="13" fillId="7" borderId="6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0" fontId="13" fillId="7" borderId="6" xfId="0" applyFont="1" applyFill="1" applyBorder="1" applyAlignment="1">
      <alignment horizontal="left" vertical="center" wrapText="1"/>
    </xf>
    <xf numFmtId="0" fontId="13" fillId="7" borderId="7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center"/>
    </xf>
    <xf numFmtId="0" fontId="2" fillId="8" borderId="7" xfId="0" applyFont="1" applyFill="1" applyBorder="1" applyAlignment="1">
      <alignment horizontal="left" vertical="center"/>
    </xf>
    <xf numFmtId="166" fontId="13" fillId="0" borderId="2" xfId="1" applyNumberFormat="1" applyFont="1" applyBorder="1" applyAlignment="1">
      <alignment horizontal="left" vertical="center" wrapText="1"/>
    </xf>
    <xf numFmtId="166" fontId="13" fillId="0" borderId="6" xfId="1" applyNumberFormat="1" applyFont="1" applyBorder="1" applyAlignment="1">
      <alignment horizontal="left" vertical="center" wrapText="1"/>
    </xf>
    <xf numFmtId="166" fontId="13" fillId="0" borderId="7" xfId="1" applyNumberFormat="1" applyFont="1" applyBorder="1" applyAlignment="1">
      <alignment horizontal="left" vertical="center" wrapText="1"/>
    </xf>
    <xf numFmtId="0" fontId="4" fillId="0" borderId="2" xfId="1" applyNumberFormat="1" applyFont="1" applyBorder="1" applyAlignment="1">
      <alignment horizontal="center" vertical="center" wrapText="1"/>
    </xf>
    <xf numFmtId="0" fontId="4" fillId="0" borderId="6" xfId="1" applyNumberFormat="1" applyFont="1" applyBorder="1" applyAlignment="1">
      <alignment horizontal="center" vertical="center" wrapText="1"/>
    </xf>
    <xf numFmtId="0" fontId="4" fillId="0" borderId="7" xfId="1" applyNumberFormat="1" applyFont="1" applyBorder="1" applyAlignment="1">
      <alignment horizontal="center" vertical="center" wrapText="1"/>
    </xf>
    <xf numFmtId="3" fontId="4" fillId="0" borderId="2" xfId="1" applyNumberFormat="1" applyFont="1" applyBorder="1" applyAlignment="1">
      <alignment horizontal="right" vertical="center"/>
    </xf>
    <xf numFmtId="3" fontId="4" fillId="0" borderId="6" xfId="1" applyNumberFormat="1" applyFont="1" applyBorder="1" applyAlignment="1">
      <alignment horizontal="right" vertical="center"/>
    </xf>
    <xf numFmtId="3" fontId="4" fillId="0" borderId="7" xfId="1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6" fontId="4" fillId="0" borderId="2" xfId="1" applyNumberFormat="1" applyFont="1" applyBorder="1" applyAlignment="1">
      <alignment horizontal="center" vertical="center"/>
    </xf>
    <xf numFmtId="166" fontId="4" fillId="0" borderId="6" xfId="1" applyNumberFormat="1" applyFont="1" applyBorder="1" applyAlignment="1">
      <alignment horizontal="center" vertical="center"/>
    </xf>
    <xf numFmtId="166" fontId="4" fillId="0" borderId="7" xfId="1" applyNumberFormat="1" applyFont="1" applyBorder="1" applyAlignment="1">
      <alignment horizontal="center" vertical="center"/>
    </xf>
    <xf numFmtId="166" fontId="16" fillId="0" borderId="2" xfId="1" applyNumberFormat="1" applyFont="1" applyBorder="1" applyAlignment="1">
      <alignment horizontal="left" vertical="center" wrapText="1"/>
    </xf>
    <xf numFmtId="166" fontId="16" fillId="0" borderId="6" xfId="1" applyNumberFormat="1" applyFont="1" applyBorder="1" applyAlignment="1">
      <alignment horizontal="left" vertical="center" wrapText="1"/>
    </xf>
    <xf numFmtId="166" fontId="16" fillId="0" borderId="7" xfId="1" applyNumberFormat="1" applyFont="1" applyBorder="1" applyAlignment="1">
      <alignment horizontal="left" vertical="center" wrapText="1"/>
    </xf>
    <xf numFmtId="166" fontId="2" fillId="0" borderId="1" xfId="1" applyNumberFormat="1" applyFont="1" applyBorder="1" applyAlignment="1">
      <alignment horizontal="center" vertical="center"/>
    </xf>
    <xf numFmtId="166" fontId="13" fillId="0" borderId="2" xfId="1" applyNumberFormat="1" applyFont="1" applyBorder="1" applyAlignment="1">
      <alignment vertical="center" wrapText="1"/>
    </xf>
    <xf numFmtId="166" fontId="13" fillId="0" borderId="6" xfId="1" applyNumberFormat="1" applyFont="1" applyBorder="1" applyAlignment="1">
      <alignment vertical="center" wrapText="1"/>
    </xf>
    <xf numFmtId="166" fontId="13" fillId="0" borderId="7" xfId="1" applyNumberFormat="1" applyFont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left" vertical="center"/>
    </xf>
    <xf numFmtId="0" fontId="13" fillId="5" borderId="6" xfId="0" applyFont="1" applyFill="1" applyBorder="1" applyAlignment="1">
      <alignment horizontal="left" vertical="center"/>
    </xf>
    <xf numFmtId="0" fontId="13" fillId="5" borderId="7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2" fillId="6" borderId="7" xfId="0" applyFont="1" applyFill="1" applyBorder="1" applyAlignment="1">
      <alignment horizontal="left" vertical="center"/>
    </xf>
    <xf numFmtId="3" fontId="11" fillId="0" borderId="1" xfId="3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4" fontId="11" fillId="0" borderId="1" xfId="3" applyNumberFormat="1" applyFont="1" applyBorder="1" applyAlignment="1">
      <alignment horizontal="center" vertical="center" wrapText="1"/>
    </xf>
    <xf numFmtId="3" fontId="11" fillId="0" borderId="1" xfId="1" applyNumberFormat="1" applyFont="1" applyFill="1" applyBorder="1" applyAlignment="1">
      <alignment horizontal="center" vertical="center" wrapText="1"/>
    </xf>
    <xf numFmtId="3" fontId="11" fillId="0" borderId="2" xfId="1" applyNumberFormat="1" applyFont="1" applyFill="1" applyBorder="1" applyAlignment="1">
      <alignment horizontal="center" vertical="center" wrapText="1"/>
    </xf>
    <xf numFmtId="3" fontId="11" fillId="0" borderId="7" xfId="1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3" fontId="11" fillId="2" borderId="1" xfId="3" applyNumberFormat="1" applyFont="1" applyFill="1" applyBorder="1" applyAlignment="1">
      <alignment horizontal="center" vertical="center" wrapText="1"/>
    </xf>
    <xf numFmtId="3" fontId="11" fillId="2" borderId="2" xfId="3" applyNumberFormat="1" applyFont="1" applyFill="1" applyBorder="1" applyAlignment="1">
      <alignment horizontal="center" vertical="center" wrapText="1"/>
    </xf>
    <xf numFmtId="3" fontId="11" fillId="2" borderId="6" xfId="3" applyNumberFormat="1" applyFont="1" applyFill="1" applyBorder="1" applyAlignment="1">
      <alignment horizontal="center" vertical="center" wrapText="1"/>
    </xf>
    <xf numFmtId="3" fontId="11" fillId="2" borderId="7" xfId="3" applyNumberFormat="1" applyFont="1" applyFill="1" applyBorder="1" applyAlignment="1">
      <alignment horizontal="center" vertical="center" wrapText="1"/>
    </xf>
    <xf numFmtId="3" fontId="11" fillId="0" borderId="3" xfId="3" applyNumberFormat="1" applyFont="1" applyBorder="1" applyAlignment="1">
      <alignment horizontal="center" vertical="center" wrapText="1"/>
    </xf>
    <xf numFmtId="3" fontId="11" fillId="0" borderId="4" xfId="3" applyNumberFormat="1" applyFont="1" applyBorder="1" applyAlignment="1">
      <alignment horizontal="center" vertical="center" wrapText="1"/>
    </xf>
    <xf numFmtId="3" fontId="11" fillId="0" borderId="5" xfId="3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11" fillId="2" borderId="2" xfId="3" applyFont="1" applyFill="1" applyBorder="1" applyAlignment="1">
      <alignment horizontal="center" vertical="center" wrapText="1"/>
    </xf>
    <xf numFmtId="0" fontId="11" fillId="2" borderId="6" xfId="3" applyFont="1" applyFill="1" applyBorder="1" applyAlignment="1">
      <alignment horizontal="center" vertical="center" wrapText="1"/>
    </xf>
    <xf numFmtId="0" fontId="11" fillId="2" borderId="7" xfId="3" applyFont="1" applyFill="1" applyBorder="1" applyAlignment="1">
      <alignment horizontal="center" vertical="center" wrapText="1"/>
    </xf>
    <xf numFmtId="165" fontId="11" fillId="0" borderId="2" xfId="3" applyNumberFormat="1" applyFont="1" applyBorder="1" applyAlignment="1">
      <alignment horizontal="center" vertical="center" wrapText="1"/>
    </xf>
    <xf numFmtId="165" fontId="11" fillId="0" borderId="6" xfId="3" applyNumberFormat="1" applyFont="1" applyBorder="1" applyAlignment="1">
      <alignment horizontal="center" vertical="center" wrapText="1"/>
    </xf>
    <xf numFmtId="165" fontId="11" fillId="0" borderId="7" xfId="3" applyNumberFormat="1" applyFont="1" applyBorder="1" applyAlignment="1">
      <alignment horizontal="center" vertical="center" wrapText="1"/>
    </xf>
  </cellXfs>
  <cellStyles count="6">
    <cellStyle name="Normal_формы ПР утвержденные" xfId="3" xr:uid="{BE3872DC-4F98-42DE-8F1A-D8A629A543FA}"/>
    <cellStyle name="КАНДАГАЧ тел3-33-96" xfId="5" xr:uid="{4CB97121-7419-446C-BEAD-6D68DB968BF0}"/>
    <cellStyle name="Обычный" xfId="0" builtinId="0"/>
    <cellStyle name="Обычный 2" xfId="4" xr:uid="{79F08EE4-D6CB-4D75-8161-925682EAEA55}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61" Type="http://schemas.openxmlformats.org/officeDocument/2006/relationships/externalLink" Target="externalLinks/externalLink60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ukhamadiyarovIF\Local%20Settings\Temporary%20Internet%20Files\OLK70A\reporting%20package%2031.12.04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tcb008\&#1052;&#1054;&#1055;\&#1044;&#1086;&#1089;&#1090;&#1091;&#1087;\2%20&#1082;&#1074;&#1072;&#1088;&#1090;&#1072;&#1083;%202003%20&#1075;&#1086;&#1076;&#1072;\100%20&#1079;&#1072;%206%20&#1084;&#1077;&#1089;&#1103;&#1094;&#1077;&#1074;%202003%20&#1075;&#1086;&#1076;&#1072;.%20&#1087;&#1086;%20&#1092;&#1080;&#1083;&#1080;&#1072;&#1083;&#1072;&#108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Salaries%20-%20CHUY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kf\controlling\Documents%20and%20Settings\marcel\Desktop\LE%2005%20attachmen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755%20Depreciation%20Analytical%20Testing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Marcel\Personal\DOCUME~1\MARCEL~1.REE\LOCALS~1\Temp\Fsl\Loan\Loan%20Movements%20PROCESSED%20-%20NOT%20COMPLETED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kf\controlling\Provisions,%20HBII\old\FS%2001%20March\Current\REE691\Audit%201999\August%201999\RKTF\Special%20Report%20Eng\HH-AUDIT\OLY017\DIAGNOST\ENGLISCH\OLYMPUS\ANLAGE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Financial%20Reporting\Lyazzat\Monthend\2002\March\AR\AR%20to%20be%20replaced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6.56.111\&#1080;&#1087;$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dp25\&#1057;&#1074;&#1086;&#1073;&#1086;&#1076;&#1085;&#1072;&#1103;\DOCUME~1\N-DZHA~1\LOCALS~1\Temp\C.Lotus.Notes.Data\rUM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Z-Rakhmankulova\&#1052;&#1086;&#1080;%20&#1076;&#1086;&#1082;&#1091;&#1084;&#1077;&#1085;&#1090;&#1099;\&#1042;&#1085;.%20&#1087;&#1086;&#1083;&#1086;&#1078;&#1077;&#1085;&#1080;&#1103;\&#1059;&#1095;&#1077;&#1090;&#1085;&#1072;&#1103;%20&#1087;&#1086;&#1083;&#1080;&#1090;&#1080;&#1082;&#1072;\&#1055;&#1083;&#1072;&#1085;%20&#1089;&#1095;&#1077;&#1090;&#1086;&#1074;\Kmg_57s%2024%2002%20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kuanbay\My%20Documents\PKI%20M&amp;T\UK\Master%20Consolidated%20HHL%20January%2020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Gord&amp;Datta\EXCEL\Monthend\2002\August\HKM%20SA%20August\Crude%20purchase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CAS%20-%20&#1057;&#1087;&#1080;&#1089;&#1086;&#1082;%20&#1080;&#1085;&#1092;&#1086;&#1088;&#1084;&#1072;&#1094;&#1080;&#1080;%20&#1076;&#1083;&#1103;%20&#1072;&#1091;&#1076;&#1080;&#1090;&#1072;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Marcel\Stansun\Files%20for%20Evegeniya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E\Gord&amp;Datta\EXCEL\Monthend\2001\May\Analysis\G&amp;A%20analysis_March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Blank%20Excel%20Workpaper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-PL/NBPL/_F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1160%20KTZH%20Client%20participation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-PL\NBPL\_FE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50%20Production%20Cost%20-%20Final%20Analytical%20Review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y%20Documents\_WORK\Finca\Kyrg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4%20Administrative%20expense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242%20Test%20of%20details%20CO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udit\Audit%20Files\KazTelecom%20US%20GAAP%202002\FINAL%20AUDIT%2031-12-2002\CAS%20FOR%20FINAL\BANK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.6%20Inventory%20Custody%20services%20-%20El%20Munai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6.56.111\&#1080;&#1087;$\Documents%20and%20Settings\User\&#1056;&#1072;&#1073;&#1086;&#1095;&#1080;&#1081;%20&#1089;&#1090;&#1086;&#1083;\2006%20&#1075;&#1086;&#1076;\2006&#1075;\2216.2%20&#1082;&#1086;&#1085;&#1089;%20&#1060;&#1054;%20JSC%20KTZh%20-%20for%20client%20RUS%20-%20FINAL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6.56.111\&#1080;&#1087;$\&#1050;&#1091;&#1079;&#1077;&#1085;&#1103;&#1090;&#1082;&#1080;&#1085;&#1072;%20&#1053;\&#1052;&#1086;&#1080;%20&#1076;&#1086;&#1082;&#1091;&#1084;&#1077;&#1085;&#1090;&#1099;\&#1089;&#1084;&#1077;&#1090;&#1099;,%20&#1090;&#1072;&#1088;&#1080;&#1092;&#1099;%20,%20&#1082;&#1072;&#1083;&#1100;&#1082;&#1091;&#1083;&#1103;&#1094;&#1080;&#1080;\&#1087;&#1088;&#1086;&#1077;&#1082;&#1090;&#1099;%20&#1090;&#1072;&#1088;&#1080;&#1092;&#1086;&#1074;%20&#1085;&#1072;%202005%20&#1075;&#1086;&#1076;%20&#1076;&#1083;&#1103;%20&#1089;&#1091;&#1073;&#1095;&#1080;&#1082;&#1086;&#1074;\&#1087;&#1088;&#1086;&#1077;&#1082;&#1090;&#1099;\&#1055;&#1088;&#1086;&#1077;&#1082;&#1090;%20&#1090;&#1072;&#1088;&#1080;&#1092;&#1072;%20&#1085;&#1072;%20&#1074;&#1086;&#1076;&#1091;%20&#1053;&#1055;&#1057;%20&#1048;&#1085;&#1076;&#1077;&#1088;%20&#1085;&#1072;%202005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340%20Long-Term%20Debt%20testing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Substantive%20Analytical%20Review%20-%20Disaggregated%20Pop.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hNOS\Monthlyreports\Dec'01\ShNOS%20December%20Financial%20Package'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5340%20Receivable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1%20PP&amp;E%20by%20branches%20-%20%20Final%20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3%20FA%20Movement%20Schedule%20-%20BALYKCHY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92;&#1086;&#1088;&#1084;&#1099;%20&#1075;&#1086;&#1076;%20&#1086;&#1090;&#1095;%202002\WINDOWS\EXCEL\MY_PROG\DWR_PRG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.Turehanova\&#1056;&#1072;&#1073;&#1086;&#1095;&#1080;&#1081;%20&#1089;&#1090;&#1086;&#1083;\&#1050;&#1052;&#1043;%20&#1056;&#1044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64.160\invest\B-PL\NBPL\_FES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6.56.111\&#1080;&#1087;$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6-2010&#1075;&#1075;\&#1073;&#1080;&#1079;&#1085;&#1077;&#1089;-&#1087;&#1083;&#1072;&#1085;\&#1057;&#1074;&#1086;&#1076;&#1085;&#1099;&#1081;%20&#1073;&#1080;&#1079;&#1085;&#1077;&#1089;-&#1087;&#1083;&#1072;&#1085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dp25\&#1057;&#1074;&#1086;&#1073;&#1086;&#1076;&#1085;&#1072;&#1103;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6.56.111\&#1080;&#1087;$\DOCUME~1\1\LOCALS~1\Temp\notes61B3DA\1.%20M_01_Reporting%20Pack%20v%201.7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2;&#1072;&#1082;&#1089;&#1072;&#1090;\&#1056;&#1072;&#1073;&#1086;&#1090;&#1072;\!&#1055;&#1088;&#1086;&#1077;&#1082;&#1090;&#1099;\&#1060;&#1080;&#1085;&#1072;&#1085;&#1089;&#1086;&#1074;&#1099;&#1077;%20&#1080;&#1085;&#1089;&#1090;&#1088;&#1091;&#1084;&#1077;&#1085;&#1090;&#1099;\&#1060;&#1080;&#1085;&#1072;&#1085;&#1089;&#1086;&#1074;&#1099;&#1077;%20&#1080;&#1085;&#1089;&#1090;&#1088;&#1091;&#1084;&#1077;&#1085;&#1090;&#1099;\&#1054;&#1090;&#1082;&#1088;&#1099;&#1090;&#1072;&#1103;%20&#1042;&#1055;%20&#1085;&#1072;%2001.01.09\&#1044;&#1072;&#1085;&#1085;&#1099;&#1077;\&#1060;&#1086;&#1088;&#1084;&#1072;&#1047;&#1072;&#1081;&#1084;&#1099;&#1043;&#1088;&#1091;&#1087;&#1087;&#1072;&#1050;&#1058;&#1046;-311208(15.01.2009)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FA%20roll-forward%20&amp;%20testing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A-Abilov\Local%20Settings\Temporary%20Internet%20Files\OLK12E\&#1060;&#1086;&#1088;&#1084;&#1072;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6.56.111\&#1080;&#1087;$\Documents%20and%20Settings\user\Local%20Settings\Temporary%20Internet%20Files\Content.IE5\OTK6MW8D\4.%20Y_01_Reporting%20Pack%20v.1.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skf\PUBLIC\Documents%20and%20Settings\marcel\Desktop\LE%2005%20attachmen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1;&#1080;&#1089;&#1090;%20&#1074;%20&#1087;&#1086;&#1083;&#1085;&#1099;&#1081;%20&#1086;&#1090;&#1095;&#1077;&#1090;%205%20&#1084;&#1077;&#1089;&#1103;&#1094;&#1077;&#1074;%202017%20&#1075;&#1086;&#1076;%20(&#1056;&#1077;&#1078;&#1080;&#1084;%20&#1089;&#1086;&#1074;&#1084;&#1077;&#1089;&#1090;&#1080;&#1084;&#1086;&#1089;&#1090;&#1080;)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Check"/>
      <sheetName val="Group"/>
      <sheetName val="BS-IS"/>
      <sheetName val="CFS"/>
      <sheetName val="Eq"/>
      <sheetName val="Expenses"/>
      <sheetName val="Income tax"/>
      <sheetName val="FA"/>
      <sheetName val="LTI"/>
      <sheetName val="NCA"/>
      <sheetName val="Inventory"/>
      <sheetName val="Taxes receivable"/>
      <sheetName val="AR"/>
      <sheetName val="Other RP"/>
      <sheetName val="Other RP loans"/>
      <sheetName val="STI"/>
      <sheetName val="Loans"/>
      <sheetName val="Unutilised loans"/>
      <sheetName val="SA"/>
      <sheetName val="Restr tax"/>
      <sheetName val="FLL"/>
      <sheetName val="Other LTL"/>
      <sheetName val="AP"/>
      <sheetName val="Taxes payable"/>
      <sheetName val="Capex"/>
      <sheetName val="Guaranties"/>
      <sheetName val="Commitments"/>
      <sheetName val="Sub events"/>
      <sheetName val="Форма2"/>
      <sheetName val="ЛСЦ начисленное на 31.12.08"/>
      <sheetName val="ЛЛизинг начис. на 31.12.08"/>
      <sheetName val="Additions_Disposals"/>
      <sheetName val="Ôîðìà2"/>
      <sheetName val="Hidden"/>
      <sheetName val="1"/>
      <sheetName val="FA Movement Kyrg"/>
      <sheetName val="2.2 ОтклОТМ"/>
      <sheetName val="1.3.2 ОТМ"/>
      <sheetName val="Предпр"/>
      <sheetName val="ЦентрЗатр"/>
      <sheetName val="ЕдИзм"/>
      <sheetName val="Production_Ref Q-1-3"/>
      <sheetName val="GAAP TB 31.12.01  detail p&amp;l"/>
      <sheetName val="Info"/>
      <sheetName val="GAAP TB 30.09.01  detail p&amp;l"/>
      <sheetName val="FES"/>
      <sheetName val="Список документов"/>
      <sheetName val="PP&amp;E mvt for 2003"/>
      <sheetName val="Analytics"/>
      <sheetName val="Собственный капитал"/>
      <sheetName val="Anlagevermögen"/>
      <sheetName val="Livestock"/>
      <sheetName val="FA Movement "/>
      <sheetName val="depreciation testing"/>
      <sheetName val="Movement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-12 "/>
      <sheetName val="р3"/>
      <sheetName val="1 (2)"/>
      <sheetName val="Письмо"/>
      <sheetName val="100"/>
      <sheetName val="1"/>
      <sheetName val="д.1.001"/>
      <sheetName val="2"/>
      <sheetName val="д.2.001"/>
      <sheetName val="д.2.002"/>
      <sheetName val="д.2.003"/>
      <sheetName val="д.2.004"/>
      <sheetName val="д.2.005"/>
      <sheetName val="д.2.006"/>
      <sheetName val="д.2.007"/>
      <sheetName val="д.2.008"/>
      <sheetName val="д.2.009"/>
      <sheetName val="д.2.010"/>
      <sheetName val="3"/>
      <sheetName val="д.3.001"/>
      <sheetName val="Д.3.002"/>
      <sheetName val="5"/>
      <sheetName val="4"/>
      <sheetName val="д.4.001"/>
      <sheetName val="6"/>
      <sheetName val="д.6.001"/>
      <sheetName val="д.6.002"/>
      <sheetName val="д.6.003"/>
      <sheetName val="7"/>
      <sheetName val="д.7.001"/>
      <sheetName val="8"/>
      <sheetName val="д.8.001"/>
      <sheetName val="д.8.002"/>
      <sheetName val="9"/>
      <sheetName val="д.9.001"/>
      <sheetName val="10"/>
      <sheetName val="11"/>
      <sheetName val="Д.11"/>
      <sheetName val="12"/>
      <sheetName val="13"/>
      <sheetName val="д.13.001"/>
      <sheetName val="д.13.002"/>
      <sheetName val="Д.13.004"/>
      <sheetName val="д.13.005"/>
      <sheetName val="д.13.007"/>
      <sheetName val="14"/>
      <sheetName val="д.14.001"/>
      <sheetName val="15"/>
      <sheetName val="д.15.001"/>
      <sheetName val="16"/>
      <sheetName val="д.16.001"/>
      <sheetName val="17"/>
      <sheetName val="д.17.001"/>
      <sheetName val="д.17.002"/>
      <sheetName val="18"/>
      <sheetName val="19"/>
      <sheetName val="20"/>
      <sheetName val="д.20.001"/>
      <sheetName val="21"/>
      <sheetName val="д21"/>
      <sheetName val="22"/>
      <sheetName val="д.22.001"/>
      <sheetName val="д.22.002"/>
      <sheetName val="д.22.003"/>
      <sheetName val="д.22.005"/>
      <sheetName val="расш.22"/>
      <sheetName val="23"/>
      <sheetName val="д.23"/>
      <sheetName val="24"/>
      <sheetName val="25"/>
      <sheetName val="д.25.001"/>
      <sheetName val="26"/>
      <sheetName val="27"/>
      <sheetName val="д.27.001"/>
      <sheetName val="28"/>
      <sheetName val="д.28.001"/>
      <sheetName val="д.28.002"/>
      <sheetName val="д.28.003"/>
      <sheetName val="д.28.004"/>
      <sheetName val="д.28.005"/>
      <sheetName val="д.28.006"/>
      <sheetName val="29"/>
      <sheetName val="30"/>
      <sheetName val="31"/>
      <sheetName val="д31"/>
      <sheetName val="32"/>
      <sheetName val="Лист1"/>
      <sheetName val="ЗАО (2)"/>
      <sheetName val="ОАО (2)"/>
      <sheetName val="Прочие (2)"/>
      <sheetName val="Стор нов (2)"/>
      <sheetName val="форма № 1 "/>
      <sheetName val="Форма №2"/>
      <sheetName val="Форма №3"/>
      <sheetName val="Формат №4"/>
      <sheetName val="Содержание"/>
      <sheetName val="д_7_001"/>
      <sheetName val="XREF"/>
      <sheetName val="Добыча нефти4"/>
      <sheetName val="поставка сравн13"/>
      <sheetName val="100 за 6 месяцев 2003 года"/>
      <sheetName val="Anlagevermögen"/>
      <sheetName val="Hidden"/>
      <sheetName val="Balance Sheet"/>
      <sheetName val="из сем"/>
      <sheetName val="9 мес 2006 Еркен заполни здесь"/>
      <sheetName val="Production_analysis"/>
      <sheetName val="База"/>
      <sheetName val="FES"/>
      <sheetName val="Dictionaries"/>
      <sheetName val="Пр2"/>
      <sheetName val="А_Газ"/>
      <sheetName val="ФП"/>
      <sheetName val="list"/>
      <sheetName val="AVANCT caissier"/>
      <sheetName val="Destinataire caissier"/>
      <sheetName val="PFA caissier"/>
      <sheetName val="ДС МЗК"/>
      <sheetName val="Начисления процентов"/>
      <sheetName val="ОТиТБ"/>
      <sheetName val="Форма2"/>
      <sheetName val="Форма1"/>
      <sheetName val="summary"/>
      <sheetName val="Накл"/>
      <sheetName val="Предпосыл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down"/>
      <sheetName val="Salary test"/>
      <sheetName val="XREF"/>
      <sheetName val="Tickmarks"/>
      <sheetName val="Threshold Table"/>
      <sheetName val="д.7.001"/>
      <sheetName val="Anlagevermögen"/>
      <sheetName val="summary"/>
      <sheetName val="Cust acc 2003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ТМЗ-6"/>
      <sheetName val="Март"/>
      <sheetName val="Сентябрь"/>
      <sheetName val="Квартал"/>
      <sheetName val="Январь"/>
      <sheetName val="Декабрь"/>
      <sheetName val="Ноябрь"/>
      <sheetName val="Datasheet"/>
      <sheetName val="4"/>
      <sheetName val="Mvnt"/>
      <sheetName val="Disclosure"/>
      <sheetName val="KEGOC - Global"/>
      <sheetName val="Sarbai MES"/>
      <sheetName val="Содержание"/>
      <sheetName val="CMA Calculations- R Factor"/>
      <sheetName val="CMA Calculations- Figure 5440.1"/>
      <sheetName val="九九年各月"/>
      <sheetName val="Бонды стр.341"/>
      <sheetName val="Saisie obligatoire"/>
      <sheetName val="Work_Packages_data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 (DM)"/>
      <sheetName val="Prov (USD)"/>
      <sheetName val="obs NTM "/>
      <sheetName val="Obs cig"/>
      <sheetName val="Str costs"/>
      <sheetName val="Anlagevermögen"/>
      <sheetName val="Threshold Table"/>
      <sheetName val="Dictionaries"/>
      <sheetName val="2210900-Aug"/>
      <sheetName val="M-100"/>
      <sheetName val="#ССЫЛКА"/>
      <sheetName val="LE 05 attachment"/>
      <sheetName val="Содержание"/>
      <sheetName val="misc"/>
      <sheetName val="Info"/>
      <sheetName val="CMA Calculations- Figure 5440.1"/>
      <sheetName val="F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2.2 ОтклОТМ"/>
      <sheetName val="1.3.2 ОТМ"/>
      <sheetName val="Plrap"/>
      <sheetName val="Plsum"/>
      <sheetName val="Pladj"/>
      <sheetName val="Cash Flow - 2004 Workings"/>
      <sheetName val="7.1"/>
      <sheetName val="PP_E mvt for 2003"/>
      <sheetName val="Предпр"/>
      <sheetName val="ЦентрЗатр"/>
      <sheetName val="ЕдИзм"/>
      <sheetName val="Форма2"/>
      <sheetName val="Форма1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NOV"/>
      <sheetName val="свод"/>
      <sheetName val="группа"/>
      <sheetName val="Расчеты"/>
      <sheetName val="Данные"/>
      <sheetName val="Def"/>
      <sheetName val="2БО"/>
      <sheetName val="Sheet1"/>
      <sheetName val="VLOOKUP"/>
      <sheetName val="INPUTMASTER"/>
      <sheetName val="Ввод"/>
      <sheetName val="Capex"/>
      <sheetName val="Assump"/>
      <sheetName val="Standing data"/>
      <sheetName val="2005 Social"/>
      <sheetName val="Cash Flow - CY Workings"/>
      <sheetName val="Собственный капитал"/>
      <sheetName val="Disclosure"/>
      <sheetName val="Inputs - general"/>
      <sheetName val="US Dollar 2003"/>
      <sheetName val="SDR 2003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Пр2"/>
      <sheetName val="ATI"/>
      <sheetName val="Cash CCI Detail"/>
      <sheetName val="IIb P_L short"/>
      <sheetName val="IV REVENUE  F_B"/>
      <sheetName val="Параметры"/>
      <sheetName val="TERMS"/>
      <sheetName val="Sensitivity"/>
      <sheetName val="Threshold Table"/>
      <sheetName val="БРК 1"/>
      <sheetName val="БРК 2"/>
      <sheetName val="БРК 3"/>
      <sheetName val="Управление"/>
      <sheetName val="ГБРК"/>
      <sheetName val="Произв. затраты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Sheet2"/>
      <sheetName val="Hidden"/>
      <sheetName val="Scenarios"/>
      <sheetName val="Workings"/>
      <sheetName val="Macroeconomic Assumptions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Prelim Cost"/>
      <sheetName val="FA register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Dictionaries"/>
      <sheetName val="Range data"/>
      <sheetName val="XREF"/>
      <sheetName val="GAAP TB 30.09.01  detail p&amp;l"/>
      <sheetName val="Treatment Summary"/>
      <sheetName val="cash product. plan"/>
      <sheetName val="Controls"/>
      <sheetName val="PRECA citadis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/>
      <sheetData sheetId="157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sheet"/>
      <sheetName val="Threshold"/>
      <sheetName val="Tickmarks"/>
      <sheetName val="misc"/>
      <sheetName val="Info"/>
      <sheetName val="Movements"/>
      <sheetName val="Disclosure"/>
      <sheetName val="Anlagevermögen"/>
      <sheetName val="П_макросы"/>
      <sheetName val="Test of FA Installation"/>
      <sheetName val="Additions"/>
      <sheetName val="Rollforward"/>
      <sheetName val="FAR 04"/>
      <sheetName val="Собственный капитал"/>
      <sheetName val="PP&amp;E mvt for 2003"/>
      <sheetName val="9-1"/>
      <sheetName val="4"/>
      <sheetName val="1-1"/>
      <sheetName val="1"/>
      <sheetName val="д.7.001"/>
      <sheetName val="XREF"/>
      <sheetName val="Movement"/>
      <sheetName val="% threshhold(salary)"/>
      <sheetName val="P&amp;L"/>
      <sheetName val="Provisions"/>
      <sheetName val="breakdown"/>
      <sheetName val="COS calculation"/>
      <sheetName val="Spreadsheet # 2"/>
      <sheetName val="HideSheet"/>
      <sheetName val="База"/>
      <sheetName val="7"/>
      <sheetName val="10"/>
      <sheetName val="Список документов"/>
      <sheetName val="Hidden"/>
      <sheetName val="Worksheet in (C) 8755 Depreciat"/>
      <sheetName val="Sheet1"/>
      <sheetName val="Форма2"/>
      <sheetName val="Курсы"/>
      <sheetName val="ВСДС_1 (MAIN)"/>
      <sheetName val="Dictionaries"/>
      <sheetName val="Threshold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FS-97"/>
      <sheetName val="КР з.ч"/>
      <sheetName val="misc"/>
      <sheetName val="Anlagevermögen"/>
      <sheetName val="$ IS"/>
      <sheetName val="Income Statement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V-Überleitung"/>
      <sheetName val="Anlagevermögen"/>
      <sheetName val="Anlageverm?gen"/>
      <sheetName val="FS-97"/>
      <sheetName val="GAAP TB 30.09.01  detail p&amp;l"/>
      <sheetName val="Планы"/>
      <sheetName val="$ IS"/>
      <sheetName val="290"/>
      <sheetName val="05"/>
      <sheetName val="PIT&amp;PP(2)"/>
      <sheetName val="fish"/>
      <sheetName val="D_Opex"/>
      <sheetName val="std tabel"/>
      <sheetName val="July_03_Pg8"/>
      <sheetName val="Opening"/>
      <sheetName val="по связ карточки"/>
      <sheetName val="CPI"/>
      <sheetName val="I-Index"/>
      <sheetName val="PIT&amp;PP"/>
      <sheetName val="Список документов"/>
      <sheetName val="7"/>
      <sheetName val="10"/>
      <sheetName val="1"/>
      <sheetName val="ANLAGEN"/>
      <sheetName val="Reference"/>
      <sheetName val="Production_Ref Q-1-3"/>
      <sheetName val="WBS elements RS-v.02A"/>
      <sheetName val="2.2 ОтклОТМ"/>
      <sheetName val="1.3.2 ОТМ"/>
      <sheetName val="Предпр"/>
      <sheetName val="ЦентрЗатр"/>
      <sheetName val="ЕдИзм"/>
      <sheetName val="КР материалы"/>
      <sheetName val="Курс.разн КТЖ"/>
      <sheetName val="Anlageverm_gen"/>
      <sheetName val="Info"/>
      <sheetName val="Links"/>
      <sheetName val="Lead"/>
      <sheetName val="plan"/>
      <sheetName val="Настройка"/>
      <sheetName val="Pro Forma"/>
      <sheetName val="Inputs"/>
      <sheetName val="Threshold Table"/>
      <sheetName val="INTRODUC"/>
      <sheetName val="General"/>
      <sheetName val="Eqty"/>
      <sheetName val="J-55"/>
      <sheetName val="I-20"/>
      <sheetName val="Sheet1"/>
      <sheetName val="Sheet2"/>
      <sheetName val="I-100"/>
      <sheetName val="I-200"/>
      <sheetName val="I-300"/>
      <sheetName val="I-400"/>
      <sheetName val="Лист2"/>
      <sheetName val="G-80"/>
      <sheetName val="Облигации Министерства финансов"/>
      <sheetName val="Tabeller"/>
      <sheetName val="База"/>
      <sheetName val="Random Report"/>
      <sheetName val="Sheet3"/>
      <sheetName val="SMSTemp"/>
      <sheetName val="Бюджет"/>
      <sheetName val="XLR_NoRangeSheet"/>
      <sheetName val="Index list"/>
      <sheetName val="NIR-1&amp;2"/>
      <sheetName val="NIR-3"/>
      <sheetName val="NIR-4"/>
      <sheetName val="NIR-5"/>
      <sheetName val="NIR-6"/>
      <sheetName val="NIR-7"/>
      <sheetName val="NIR-10"/>
      <sheetName val="NIR-17"/>
      <sheetName val="NIR-18"/>
      <sheetName val="NIR 19"/>
      <sheetName val="NIR 20"/>
      <sheetName val="NIR 21"/>
      <sheetName val="NIR 22"/>
      <sheetName val="NIR 23"/>
      <sheetName val="NIR 24"/>
      <sheetName val="NBT-BS"/>
      <sheetName val="G-50 (GL)"/>
      <sheetName val="NIR"/>
      <sheetName val="Settings"/>
      <sheetName val="п 15"/>
      <sheetName val="tr"/>
      <sheetName val="Hidden"/>
      <sheetName val="д.7.001"/>
      <sheetName val="Rollforward {pbe}"/>
      <sheetName val="Allow - SR&amp;D"/>
    </sheetNames>
    <sheetDataSet>
      <sheetData sheetId="0">
        <row r="1">
          <cell r="Z1" t="str">
            <v>EXHIBIT 3</v>
          </cell>
        </row>
      </sheetData>
      <sheetData sheetId="1" refreshError="1">
        <row r="1">
          <cell r="Z1" t="str">
            <v>EXHIBIT 3</v>
          </cell>
        </row>
        <row r="2">
          <cell r="Z2" t="str">
            <v>Page 3</v>
          </cell>
        </row>
        <row r="5">
          <cell r="C5" t="str">
            <v>Statement of fixed assets movements</v>
          </cell>
        </row>
        <row r="10">
          <cell r="D10" t="str">
            <v>AQUISITION COST</v>
          </cell>
          <cell r="N10" t="str">
            <v>ACCUMULATED DEPRECIATION</v>
          </cell>
          <cell r="X10" t="str">
            <v>NET BOOK VALUE</v>
          </cell>
        </row>
        <row r="11">
          <cell r="J11" t="str">
            <v xml:space="preserve">Exchange </v>
          </cell>
          <cell r="T11" t="str">
            <v>Exchange</v>
          </cell>
        </row>
        <row r="12">
          <cell r="D12" t="str">
            <v>April 1, 1995</v>
          </cell>
          <cell r="F12" t="str">
            <v>Additions</v>
          </cell>
          <cell r="H12" t="str">
            <v>Disposals</v>
          </cell>
          <cell r="J12" t="str">
            <v>Difference</v>
          </cell>
          <cell r="L12" t="str">
            <v>March 31, 1996</v>
          </cell>
          <cell r="N12" t="str">
            <v>April 1, 1995</v>
          </cell>
          <cell r="P12" t="str">
            <v>Additions</v>
          </cell>
          <cell r="R12" t="str">
            <v>Disposals</v>
          </cell>
          <cell r="T12" t="str">
            <v>Difference</v>
          </cell>
          <cell r="V12" t="str">
            <v>March 31, 1996</v>
          </cell>
          <cell r="X12" t="str">
            <v>March 31, 1996</v>
          </cell>
          <cell r="Z12" t="str">
            <v>March 31, 1995</v>
          </cell>
        </row>
        <row r="13">
          <cell r="D13" t="str">
            <v>DM</v>
          </cell>
          <cell r="F13" t="str">
            <v>DM</v>
          </cell>
          <cell r="H13" t="str">
            <v>DM</v>
          </cell>
          <cell r="J13" t="str">
            <v>DM</v>
          </cell>
          <cell r="L13" t="str">
            <v>DM</v>
          </cell>
          <cell r="N13" t="str">
            <v>DM</v>
          </cell>
          <cell r="P13" t="str">
            <v>DM</v>
          </cell>
          <cell r="R13" t="str">
            <v>DM</v>
          </cell>
          <cell r="T13" t="str">
            <v>DM</v>
          </cell>
          <cell r="V13" t="str">
            <v>DM</v>
          </cell>
          <cell r="X13" t="str">
            <v>DM</v>
          </cell>
          <cell r="Z13" t="str">
            <v>DM</v>
          </cell>
        </row>
        <row r="15">
          <cell r="A15" t="str">
            <v>I.</v>
          </cell>
          <cell r="B15" t="str">
            <v>INTANGIBLE ASSETS</v>
          </cell>
        </row>
        <row r="17">
          <cell r="C17" t="str">
            <v>Franchises, trademarks, patents, licences, and similar rights and licences to such rights</v>
          </cell>
          <cell r="D17">
            <v>1177602</v>
          </cell>
          <cell r="F17">
            <v>535543</v>
          </cell>
          <cell r="H17">
            <v>0</v>
          </cell>
          <cell r="J17">
            <v>33507</v>
          </cell>
          <cell r="L17">
            <v>1746652</v>
          </cell>
          <cell r="N17">
            <v>1169056</v>
          </cell>
          <cell r="P17">
            <v>518223</v>
          </cell>
          <cell r="R17">
            <v>0</v>
          </cell>
          <cell r="T17">
            <v>33508</v>
          </cell>
          <cell r="V17">
            <v>1720787</v>
          </cell>
          <cell r="X17">
            <v>25865</v>
          </cell>
          <cell r="Z17">
            <v>8546</v>
          </cell>
        </row>
        <row r="20">
          <cell r="A20" t="str">
            <v>II.</v>
          </cell>
          <cell r="B20" t="str">
            <v>PROPERTY, PLANT AND EQUIPMENT</v>
          </cell>
        </row>
        <row r="22">
          <cell r="B22" t="str">
            <v>1.</v>
          </cell>
          <cell r="C22" t="str">
            <v>Land, leasehold rights and buildings,</v>
          </cell>
        </row>
        <row r="23">
          <cell r="C23" t="str">
            <v>including buildings on non-owned land</v>
          </cell>
          <cell r="D23">
            <v>5044829</v>
          </cell>
          <cell r="F23">
            <v>0</v>
          </cell>
          <cell r="H23">
            <v>0</v>
          </cell>
          <cell r="J23">
            <v>147080</v>
          </cell>
          <cell r="L23">
            <v>5191909</v>
          </cell>
          <cell r="N23">
            <v>2608657</v>
          </cell>
          <cell r="P23">
            <v>129397</v>
          </cell>
          <cell r="R23">
            <v>0</v>
          </cell>
          <cell r="T23">
            <v>77093</v>
          </cell>
          <cell r="V23">
            <v>2815147</v>
          </cell>
          <cell r="X23">
            <v>2376762</v>
          </cell>
          <cell r="Z23">
            <v>2436172</v>
          </cell>
        </row>
        <row r="24">
          <cell r="B24" t="str">
            <v>2.</v>
          </cell>
          <cell r="C24" t="str">
            <v xml:space="preserve">Other equipment, operational and </v>
          </cell>
        </row>
        <row r="25">
          <cell r="C25" t="str">
            <v>office equipment</v>
          </cell>
          <cell r="D25">
            <v>11635933</v>
          </cell>
          <cell r="F25">
            <v>4656110</v>
          </cell>
          <cell r="H25">
            <v>-1917556</v>
          </cell>
          <cell r="J25">
            <v>245073</v>
          </cell>
          <cell r="L25">
            <v>14619560</v>
          </cell>
          <cell r="N25">
            <v>8181318</v>
          </cell>
          <cell r="P25">
            <v>2348299</v>
          </cell>
          <cell r="R25">
            <v>-827341</v>
          </cell>
          <cell r="T25">
            <v>201854</v>
          </cell>
          <cell r="V25">
            <v>9904130</v>
          </cell>
          <cell r="X25">
            <v>4715430</v>
          </cell>
          <cell r="Z25">
            <v>3454615</v>
          </cell>
        </row>
        <row r="27">
          <cell r="D27">
            <v>16680762</v>
          </cell>
          <cell r="F27">
            <v>4656110</v>
          </cell>
          <cell r="H27">
            <v>-1917556</v>
          </cell>
          <cell r="J27">
            <v>392153</v>
          </cell>
          <cell r="L27">
            <v>19811469</v>
          </cell>
          <cell r="N27">
            <v>10789975.140000001</v>
          </cell>
          <cell r="P27">
            <v>2477696</v>
          </cell>
          <cell r="R27">
            <v>-827341</v>
          </cell>
          <cell r="T27">
            <v>278947</v>
          </cell>
          <cell r="V27">
            <v>12719277.140000001</v>
          </cell>
          <cell r="X27">
            <v>7092192</v>
          </cell>
          <cell r="Z27">
            <v>5890787</v>
          </cell>
        </row>
        <row r="29">
          <cell r="D29">
            <v>17858363.649999999</v>
          </cell>
          <cell r="F29">
            <v>5191653</v>
          </cell>
          <cell r="H29">
            <v>-1917556</v>
          </cell>
          <cell r="I29">
            <v>0</v>
          </cell>
          <cell r="J29">
            <v>425660</v>
          </cell>
          <cell r="L29">
            <v>21558121</v>
          </cell>
          <cell r="N29">
            <v>11959031.140000001</v>
          </cell>
          <cell r="O29">
            <v>0</v>
          </cell>
          <cell r="P29">
            <v>2995919</v>
          </cell>
          <cell r="Q29">
            <v>0</v>
          </cell>
          <cell r="R29">
            <v>-827341</v>
          </cell>
          <cell r="S29">
            <v>0</v>
          </cell>
          <cell r="T29">
            <v>312455</v>
          </cell>
          <cell r="U29">
            <v>0</v>
          </cell>
          <cell r="V29">
            <v>14440064.140000001</v>
          </cell>
          <cell r="X29">
            <v>7118057</v>
          </cell>
          <cell r="Y29">
            <v>0</v>
          </cell>
          <cell r="Z29">
            <v>5899333</v>
          </cell>
        </row>
      </sheetData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"/>
      <sheetName val="Links"/>
      <sheetName val="Форма2"/>
      <sheetName val="Anlagevermögen"/>
      <sheetName val="FS-97"/>
      <sheetName val="Hidden"/>
      <sheetName val="Форма1"/>
      <sheetName val="ВОЛС"/>
      <sheetName val="SA Procedures"/>
      <sheetName val="1NK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Links"/>
      <sheetName val="ВОЛС"/>
      <sheetName val="FES"/>
      <sheetName val="Содержание"/>
      <sheetName val="SA Procedures"/>
      <sheetName val="MetaData"/>
      <sheetName val="57_1NKs плюс АА_Н"/>
      <sheetName val="Info"/>
      <sheetName val="д.7.001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name"/>
      <sheetName val="PROGNOS"/>
      <sheetName val="свод"/>
      <sheetName val="группа"/>
      <sheetName val="5R"/>
      <sheetName val="LBS Reminder"/>
      <sheetName val="Anlagevermögen"/>
      <sheetName val="5"/>
      <sheetName val="Sample"/>
      <sheetName val="Норм потери_БУ"/>
      <sheetName val="Статьи"/>
      <sheetName val="OffshoreBatchReport"/>
      <sheetName val="7.1"/>
      <sheetName val="ШРР"/>
      <sheetName val="Баланс ТД"/>
      <sheetName val="12НК"/>
      <sheetName val="7НК"/>
      <sheetName val="Важн_2004"/>
      <sheetName val="Важн_20041"/>
      <sheetName val="FS-97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Лист5"/>
      <sheetName val="Loaded"/>
      <sheetName val="База"/>
      <sheetName val="Труд"/>
      <sheetName val="2БО"/>
      <sheetName val="2НК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Lead"/>
      <sheetName val="Drop Dow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Содержание"/>
      <sheetName val="Captions"/>
      <sheetName val="Форма2"/>
      <sheetName val="6НК-cт."/>
      <sheetName val="из сем"/>
      <sheetName val="KAZAK RECO ST 99"/>
      <sheetName val="свод по доходам"/>
      <sheetName val="TB"/>
      <sheetName val="PR CN"/>
      <sheetName val="Пр2"/>
      <sheetName val="H3.100 Rollforward"/>
      <sheetName val="Hidden"/>
      <sheetName val="ЯНВАРЬ"/>
      <sheetName val="Const"/>
      <sheetName val="AFE's  By Afe"/>
      <sheetName val="RD_610"/>
      <sheetName val="Cover"/>
      <sheetName val="3НК"/>
      <sheetName val="12июля"/>
      <sheetName val="Links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Info"/>
      <sheetName val="из_сем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д.7.001"/>
      <sheetName val="$ IS"/>
      <sheetName val="list_with_code"/>
      <sheetName val="Статьи"/>
      <sheetName val="KCC"/>
      <sheetName val="7_1"/>
      <sheetName val="7_11"/>
      <sheetName val="Мебель"/>
      <sheetName val="  2.3.2"/>
      <sheetName val="2 БО"/>
      <sheetName val="IS"/>
      <sheetName val="Anlagevermögen"/>
      <sheetName val="ЛСЦ начисленное на 31.12.08"/>
      <sheetName val="ЛЛизинг начис. на 31.12.08"/>
      <sheetName val="OffshoreBatchRep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Группа"/>
      <sheetName val="КТЖ"/>
      <sheetName val="Свод АО"/>
      <sheetName val="L-1"/>
      <sheetName val="AP new"/>
      <sheetName val="анализ"/>
      <sheetName val="расш. прочих, опл. услуг"/>
      <sheetName val="ввод-вывод ОС авг2004- 2005"/>
      <sheetName val="СписокТЭП"/>
      <sheetName val="Форма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Паспорт"/>
      <sheetName val="1NK"/>
      <sheetName val="4NK"/>
      <sheetName val="ЦентрЗатр"/>
      <sheetName val="ЕдИзм"/>
      <sheetName val="Import01"/>
      <sheetName val="Предпр"/>
      <sheetName val="rUMG"/>
      <sheetName val="Capex"/>
      <sheetName val="2.2 ОтклОТМ"/>
      <sheetName val="1.3.2 ОТМ"/>
      <sheetName val="из сем"/>
      <sheetName val="Comp"/>
      <sheetName val="7.1"/>
      <sheetName val="Dictionaries"/>
      <sheetName val="FES"/>
      <sheetName val="Форма2"/>
      <sheetName val="Comp06"/>
      <sheetName val="Graph"/>
      <sheetName val="Hidden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Список документов"/>
      <sheetName val="7"/>
      <sheetName val="10"/>
      <sheetName val="1"/>
      <sheetName val="Links"/>
      <sheetName val="ЛСЦ начисленное на 31.12.08"/>
      <sheetName val="ЛЛизинг начис. на 31.12.08"/>
      <sheetName val="МодельППП (Свод)"/>
      <sheetName val="KAZAK RECO ST 99"/>
      <sheetName val="FS-97"/>
      <sheetName val="ВОЛС"/>
      <sheetName val="SA Procedures"/>
      <sheetName val="MetaData"/>
      <sheetName val="2_2 ОтклОТМ"/>
      <sheetName val="1_3_2 ОТМ"/>
      <sheetName val="P9-BS by Co"/>
      <sheetName val="Catalogue"/>
      <sheetName val="ОТиТБ"/>
      <sheetName val="объемные показатели с доходами"/>
      <sheetName val="XREF"/>
      <sheetName val="Пр2"/>
      <sheetName val="Info"/>
      <sheetName val="2_2_ОтклОТМ"/>
      <sheetName val="1_3_2_ОТМ"/>
      <sheetName val="из_сем"/>
      <sheetName val="7_1"/>
      <sheetName val="KAZAK_RECO_ST_99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P9-BS_by_Co"/>
      <sheetName val="2_2_ОтклОТМ1"/>
      <sheetName val="1_3_2_ОТМ1"/>
      <sheetName val="Список_документов"/>
      <sheetName val="ЛСЦ_начисленное_на_31_12_08"/>
      <sheetName val="ЛЛизинг_начис__на_31_12_08"/>
      <sheetName val="МодельППП_(Свод)"/>
      <sheetName val="из_сем1"/>
      <sheetName val="2_2_ОтклОТМ2"/>
      <sheetName val="1_3_2_ОТМ2"/>
      <sheetName val="7_11"/>
      <sheetName val="18_1"/>
      <sheetName val="08_1"/>
      <sheetName val="11_1"/>
      <sheetName val="14_1"/>
      <sheetName val="15_1"/>
      <sheetName val="05_1"/>
      <sheetName val="09_1"/>
      <sheetName val="04_1"/>
      <sheetName val="19_1"/>
      <sheetName val="01_1"/>
      <sheetName val="17_1"/>
      <sheetName val="07_1"/>
      <sheetName val="06_1"/>
      <sheetName val="16_1"/>
      <sheetName val="10_1"/>
      <sheetName val="28_1"/>
      <sheetName val="13_1"/>
      <sheetName val="03_1"/>
      <sheetName val="29_1"/>
      <sheetName val="30_1"/>
      <sheetName val="31_1"/>
      <sheetName val="27_1"/>
      <sheetName val="12_1"/>
      <sheetName val="20_1"/>
      <sheetName val="24_1"/>
      <sheetName val="25_1"/>
      <sheetName val="02_1"/>
      <sheetName val="21_1"/>
      <sheetName val="26_1"/>
      <sheetName val="23_1"/>
      <sheetName val="22_1"/>
      <sheetName val="KAZAK_RECO_ST_991"/>
      <sheetName val="P9-BS_by_Co1"/>
      <sheetName val="2_2_ОтклОТМ3"/>
      <sheetName val="1_3_2_ОТМ3"/>
      <sheetName val="Список_документов1"/>
      <sheetName val="ЛСЦ_начисленное_на_31_12_081"/>
      <sheetName val="ЛЛизинг_начис__на_31_12_081"/>
      <sheetName val="МодельППП_(Свод)1"/>
      <sheetName val="SA_Procedures"/>
      <sheetName val="Loaded"/>
      <sheetName val="ВСДС_1 (MAIN)"/>
      <sheetName val="канат.прод."/>
      <sheetName val="2_2_ОтклОТМ4"/>
      <sheetName val="1_3_2_ОТМ4"/>
      <sheetName val="из_сем2"/>
      <sheetName val="7_12"/>
      <sheetName val="KAZAK_RECO_ST_992"/>
      <sheetName val="18_2"/>
      <sheetName val="08_2"/>
      <sheetName val="11_2"/>
      <sheetName val="14_2"/>
      <sheetName val="15_2"/>
      <sheetName val="05_2"/>
      <sheetName val="09_2"/>
      <sheetName val="04_2"/>
      <sheetName val="19_2"/>
      <sheetName val="01_2"/>
      <sheetName val="17_2"/>
      <sheetName val="07_2"/>
      <sheetName val="06_2"/>
      <sheetName val="16_2"/>
      <sheetName val="10_2"/>
      <sheetName val="28_2"/>
      <sheetName val="13_2"/>
      <sheetName val="03_2"/>
      <sheetName val="29_2"/>
      <sheetName val="30_2"/>
      <sheetName val="31_2"/>
      <sheetName val="27_2"/>
      <sheetName val="12_2"/>
      <sheetName val="20_2"/>
      <sheetName val="24_2"/>
      <sheetName val="25_2"/>
      <sheetName val="02_2"/>
      <sheetName val="21_2"/>
      <sheetName val="26_2"/>
      <sheetName val="23_2"/>
      <sheetName val="22_2"/>
      <sheetName val="P9-BS_by_Co2"/>
      <sheetName val="2_2_ОтклОТМ5"/>
      <sheetName val="1_3_2_ОТМ5"/>
      <sheetName val="Список_документов2"/>
      <sheetName val="ЛСЦ_начисленное_на_31_12_082"/>
      <sheetName val="ЛЛизинг_начис__на_31_12_082"/>
      <sheetName val="МодельППП_(Свод)2"/>
      <sheetName val="SA_Procedures1"/>
      <sheetName val="канат_прод_"/>
      <sheetName val="TB"/>
      <sheetName val="Anlagevermögen"/>
      <sheetName val="14.1.2.2.(Услуги связи)"/>
      <sheetName val="#ССЫЛКА"/>
      <sheetName val="поставка сравн13"/>
      <sheetName val="6НК-cт."/>
      <sheetName val="д.7.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>
            <v>0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>
            <v>0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>
            <v>0</v>
          </cell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уктура"/>
      <sheetName val="Алгоритм"/>
      <sheetName val="Паспорт"/>
      <sheetName val="1.1 Сценарий"/>
      <sheetName val="Поставки"/>
      <sheetName val="1.2 Произ-во"/>
      <sheetName val="2.1 КВЛ"/>
      <sheetName val="2.2 Займы"/>
      <sheetName val="2.3 Налоги"/>
      <sheetName val="2.4 Оплата труда"/>
      <sheetName val="3.1 Доходы"/>
      <sheetName val="3.2 Себестоимость"/>
      <sheetName val="3.3 Расходы периода"/>
      <sheetName val="4.1 Импорт"/>
      <sheetName val="4.2 Импортозамещение"/>
      <sheetName val="4.3 Экология"/>
      <sheetName val="4.4 КСКМ"/>
      <sheetName val="4.5 Инновации"/>
      <sheetName val="Cash_All"/>
      <sheetName val="Dir_Cash"/>
      <sheetName val="Dir_Cash (2)"/>
      <sheetName val="Indir_Cash"/>
      <sheetName val="Indir_Cash (2)"/>
      <sheetName val="1NK"/>
      <sheetName val="2NK"/>
      <sheetName val="3NK"/>
      <sheetName val="4NK"/>
      <sheetName val="5NK"/>
      <sheetName val="6NK"/>
      <sheetName val="ЦентрЗатр"/>
      <sheetName val="ЕдИзм"/>
      <sheetName val="Предпр"/>
      <sheetName val="2.2 ОтклОТМ"/>
      <sheetName val="1.3.2 ОТМ"/>
      <sheetName val="Форма2"/>
      <sheetName val="Прочие "/>
      <sheetName val="FES"/>
      <sheetName val="Добыча нефти4"/>
      <sheetName val="Capex"/>
      <sheetName val="ОТиТБ"/>
      <sheetName val="Пр2"/>
      <sheetName val="SA Procedures"/>
      <sheetName val="субподряд 2013"/>
      <sheetName val="Hidden"/>
      <sheetName val="Kmg_57s 24 02 05"/>
      <sheetName val="Список документов"/>
      <sheetName val="7"/>
      <sheetName val="10"/>
      <sheetName val="ВОЛС"/>
      <sheetName val="поставка сравн13"/>
      <sheetName val="Info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6НК-cт."/>
      <sheetName val="cons AG 31.03.2012"/>
      <sheetName val="RP"/>
      <sheetName val="Links"/>
      <sheetName val="База"/>
      <sheetName val="1"/>
      <sheetName val="$ IS"/>
      <sheetName val="GAAP TB 30.09.01  detail p&amp;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2">
          <cell r="A2">
            <v>6</v>
          </cell>
          <cell r="E2" t="str">
            <v>00</v>
          </cell>
          <cell r="F2" t="str">
            <v>000001</v>
          </cell>
        </row>
        <row r="3">
          <cell r="E3" t="str">
            <v>31</v>
          </cell>
          <cell r="F3" t="str">
            <v>010101</v>
          </cell>
        </row>
        <row r="4">
          <cell r="E4" t="str">
            <v>31</v>
          </cell>
          <cell r="F4" t="str">
            <v>010102</v>
          </cell>
        </row>
        <row r="5">
          <cell r="E5" t="str">
            <v>31</v>
          </cell>
          <cell r="F5" t="str">
            <v>010203</v>
          </cell>
        </row>
        <row r="6">
          <cell r="E6" t="str">
            <v>42</v>
          </cell>
          <cell r="F6" t="str">
            <v>010304</v>
          </cell>
        </row>
        <row r="7">
          <cell r="E7" t="str">
            <v>41</v>
          </cell>
          <cell r="F7" t="str">
            <v>010406</v>
          </cell>
        </row>
        <row r="8">
          <cell r="E8" t="str">
            <v>11</v>
          </cell>
          <cell r="F8" t="str">
            <v>020101</v>
          </cell>
        </row>
        <row r="9">
          <cell r="E9" t="str">
            <v>11</v>
          </cell>
          <cell r="F9" t="str">
            <v>021102</v>
          </cell>
        </row>
        <row r="10">
          <cell r="E10" t="str">
            <v>11</v>
          </cell>
          <cell r="F10" t="str">
            <v>021103</v>
          </cell>
        </row>
        <row r="11">
          <cell r="E11" t="str">
            <v>11</v>
          </cell>
          <cell r="F11" t="str">
            <v>030101</v>
          </cell>
        </row>
        <row r="12">
          <cell r="E12" t="str">
            <v>30</v>
          </cell>
          <cell r="F12" t="str">
            <v>030102</v>
          </cell>
        </row>
        <row r="13">
          <cell r="E13" t="str">
            <v>41</v>
          </cell>
          <cell r="F13" t="str">
            <v>030403</v>
          </cell>
        </row>
        <row r="14">
          <cell r="E14" t="str">
            <v>30</v>
          </cell>
          <cell r="F14" t="str">
            <v>030604</v>
          </cell>
        </row>
        <row r="15">
          <cell r="E15" t="str">
            <v>30</v>
          </cell>
          <cell r="F15" t="str">
            <v>030705</v>
          </cell>
        </row>
        <row r="16">
          <cell r="E16" t="str">
            <v>31</v>
          </cell>
          <cell r="F16" t="str">
            <v>040101</v>
          </cell>
        </row>
        <row r="17">
          <cell r="E17" t="str">
            <v>82</v>
          </cell>
          <cell r="F17" t="str">
            <v>040102</v>
          </cell>
        </row>
        <row r="18">
          <cell r="E18" t="str">
            <v>31</v>
          </cell>
          <cell r="F18" t="str">
            <v>040103</v>
          </cell>
        </row>
        <row r="19">
          <cell r="E19" t="str">
            <v>41</v>
          </cell>
          <cell r="F19" t="str">
            <v>040404</v>
          </cell>
        </row>
        <row r="20">
          <cell r="E20" t="str">
            <v>41</v>
          </cell>
          <cell r="F20" t="str">
            <v>040405</v>
          </cell>
        </row>
        <row r="21">
          <cell r="E21" t="str">
            <v>41</v>
          </cell>
          <cell r="F21" t="str">
            <v>040406</v>
          </cell>
        </row>
        <row r="22">
          <cell r="E22" t="str">
            <v>41</v>
          </cell>
          <cell r="F22" t="str">
            <v>040407</v>
          </cell>
        </row>
        <row r="23">
          <cell r="E23" t="str">
            <v>41</v>
          </cell>
          <cell r="F23" t="str">
            <v>040408</v>
          </cell>
        </row>
        <row r="24">
          <cell r="E24" t="str">
            <v>41</v>
          </cell>
          <cell r="F24" t="str">
            <v>040409</v>
          </cell>
        </row>
        <row r="25">
          <cell r="E25" t="str">
            <v>41</v>
          </cell>
          <cell r="F25" t="str">
            <v>040410</v>
          </cell>
        </row>
        <row r="26">
          <cell r="E26" t="str">
            <v>31</v>
          </cell>
          <cell r="F26" t="str">
            <v>050101</v>
          </cell>
        </row>
        <row r="27">
          <cell r="E27" t="str">
            <v>41</v>
          </cell>
          <cell r="F27" t="str">
            <v>050501</v>
          </cell>
        </row>
        <row r="28">
          <cell r="E28" t="str">
            <v>31</v>
          </cell>
          <cell r="F28" t="str">
            <v>060101</v>
          </cell>
        </row>
        <row r="29">
          <cell r="E29" t="str">
            <v>31</v>
          </cell>
          <cell r="F29" t="str">
            <v>070601</v>
          </cell>
        </row>
        <row r="30">
          <cell r="E30" t="str">
            <v>31</v>
          </cell>
          <cell r="F30" t="str">
            <v>070602</v>
          </cell>
        </row>
        <row r="31">
          <cell r="E31" t="str">
            <v>31</v>
          </cell>
          <cell r="F31" t="str">
            <v>070603</v>
          </cell>
        </row>
        <row r="32">
          <cell r="E32" t="str">
            <v>31</v>
          </cell>
          <cell r="F32" t="str">
            <v>070604</v>
          </cell>
        </row>
        <row r="33">
          <cell r="E33" t="str">
            <v>31</v>
          </cell>
          <cell r="F33" t="str">
            <v>070605</v>
          </cell>
        </row>
        <row r="34">
          <cell r="E34" t="str">
            <v>31</v>
          </cell>
          <cell r="F34" t="str">
            <v>070606</v>
          </cell>
        </row>
        <row r="35">
          <cell r="E35" t="str">
            <v>31</v>
          </cell>
          <cell r="F35" t="str">
            <v>070607</v>
          </cell>
        </row>
        <row r="36">
          <cell r="E36" t="str">
            <v>31</v>
          </cell>
          <cell r="F36" t="str">
            <v>070608</v>
          </cell>
        </row>
        <row r="37">
          <cell r="E37" t="str">
            <v>31</v>
          </cell>
          <cell r="F37" t="str">
            <v>070609</v>
          </cell>
        </row>
        <row r="38">
          <cell r="E38" t="str">
            <v>31</v>
          </cell>
          <cell r="F38" t="str">
            <v>070610</v>
          </cell>
        </row>
        <row r="39">
          <cell r="E39" t="str">
            <v>31</v>
          </cell>
          <cell r="F39" t="str">
            <v>070611</v>
          </cell>
        </row>
        <row r="40">
          <cell r="E40" t="str">
            <v>31</v>
          </cell>
          <cell r="F40" t="str">
            <v>070612</v>
          </cell>
        </row>
        <row r="41">
          <cell r="E41" t="str">
            <v>30</v>
          </cell>
          <cell r="F41" t="str">
            <v>080801</v>
          </cell>
        </row>
        <row r="42">
          <cell r="E42" t="str">
            <v>11</v>
          </cell>
          <cell r="F42" t="str">
            <v>080902</v>
          </cell>
        </row>
        <row r="43">
          <cell r="E43" t="str">
            <v>11</v>
          </cell>
          <cell r="F43" t="str">
            <v>081003</v>
          </cell>
        </row>
        <row r="44">
          <cell r="E44" t="str">
            <v>30</v>
          </cell>
          <cell r="F44" t="str">
            <v>081104</v>
          </cell>
        </row>
        <row r="45">
          <cell r="E45" t="str">
            <v>30</v>
          </cell>
          <cell r="F45" t="str">
            <v>081105</v>
          </cell>
        </row>
        <row r="46">
          <cell r="E46" t="str">
            <v>11</v>
          </cell>
          <cell r="F46" t="str">
            <v>081106</v>
          </cell>
        </row>
        <row r="47">
          <cell r="E47" t="str">
            <v>11</v>
          </cell>
          <cell r="F47" t="str">
            <v>081107</v>
          </cell>
        </row>
        <row r="48">
          <cell r="E48" t="str">
            <v>11</v>
          </cell>
          <cell r="F48" t="str">
            <v>081108</v>
          </cell>
        </row>
        <row r="49">
          <cell r="E49" t="str">
            <v>30</v>
          </cell>
          <cell r="F49" t="str">
            <v>081109</v>
          </cell>
        </row>
        <row r="50">
          <cell r="E50" t="str">
            <v>30</v>
          </cell>
          <cell r="F50" t="str">
            <v>081110</v>
          </cell>
        </row>
        <row r="51">
          <cell r="E51" t="str">
            <v>30</v>
          </cell>
          <cell r="F51" t="str">
            <v>081111</v>
          </cell>
        </row>
        <row r="52">
          <cell r="E52" t="str">
            <v>30</v>
          </cell>
          <cell r="F52" t="str">
            <v>081112</v>
          </cell>
        </row>
        <row r="53">
          <cell r="E53" t="str">
            <v>30</v>
          </cell>
          <cell r="F53" t="str">
            <v>081113</v>
          </cell>
        </row>
        <row r="54">
          <cell r="E54" t="str">
            <v>71</v>
          </cell>
          <cell r="F54" t="str">
            <v>081114</v>
          </cell>
        </row>
        <row r="55">
          <cell r="E55" t="str">
            <v>30</v>
          </cell>
          <cell r="F55" t="str">
            <v>081115</v>
          </cell>
        </row>
        <row r="56">
          <cell r="E56" t="str">
            <v>90</v>
          </cell>
          <cell r="F56" t="str">
            <v>081116</v>
          </cell>
        </row>
        <row r="57">
          <cell r="E57" t="str">
            <v>90</v>
          </cell>
          <cell r="F57" t="str">
            <v>081117</v>
          </cell>
        </row>
        <row r="58">
          <cell r="E58" t="str">
            <v>90</v>
          </cell>
          <cell r="F58" t="str">
            <v>081118</v>
          </cell>
        </row>
        <row r="59">
          <cell r="E59" t="str">
            <v>90</v>
          </cell>
          <cell r="F59" t="str">
            <v>081119</v>
          </cell>
        </row>
        <row r="60">
          <cell r="E60" t="str">
            <v>90</v>
          </cell>
          <cell r="F60" t="str">
            <v>081120</v>
          </cell>
        </row>
        <row r="61">
          <cell r="E61" t="str">
            <v>90</v>
          </cell>
          <cell r="F61" t="str">
            <v>081121</v>
          </cell>
        </row>
        <row r="62">
          <cell r="E62" t="str">
            <v>11</v>
          </cell>
          <cell r="F62" t="str">
            <v>091122</v>
          </cell>
        </row>
        <row r="63">
          <cell r="E63" t="str">
            <v>31</v>
          </cell>
          <cell r="F63" t="str">
            <v>100101</v>
          </cell>
        </row>
        <row r="64">
          <cell r="E64" t="str">
            <v>42</v>
          </cell>
          <cell r="F64" t="str">
            <v>100302</v>
          </cell>
        </row>
        <row r="65">
          <cell r="E65" t="str">
            <v>31</v>
          </cell>
          <cell r="F65" t="str">
            <v>110101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 Page"/>
      <sheetName val="Income Statement"/>
      <sheetName val="Balance Sheet"/>
      <sheetName val="Cash"/>
      <sheetName val="Income Statement - E&amp;P"/>
      <sheetName val="Balance Sheet E &amp; P"/>
      <sheetName val="IS Consolidated HKM&amp;Turg"/>
      <sheetName val="Is Divisional Summary"/>
      <sheetName val="Income Statement - Refining"/>
      <sheetName val="Balance Sheet ShNos"/>
      <sheetName val="Income Statement - Ref Deta"/>
      <sheetName val="IS Divisional Refining"/>
      <sheetName val="Income Statement - Farm"/>
      <sheetName val="Balance Sheet Agriculture"/>
      <sheetName val="Income Statem.-Farm Det"/>
      <sheetName val="IS Divisional Farm"/>
      <sheetName val="Income Statement - Corporate"/>
      <sheetName val="Balance Sheet Corporate"/>
      <sheetName val="Income Stat-Corp Det"/>
      <sheetName val="IS Divisional Corporate"/>
      <sheetName val="Список документов"/>
      <sheetName val="7"/>
      <sheetName val="10"/>
      <sheetName val="1"/>
      <sheetName val="ЦентрЗатр"/>
      <sheetName val="ЕдИзм"/>
      <sheetName val="Предпр"/>
      <sheetName val="Links"/>
      <sheetName val="ВСДС_1 (MAIN)"/>
      <sheetName val="2.2 ОтклОТМ"/>
      <sheetName val="1.3.2 ОТМ"/>
      <sheetName val="depreciation testing"/>
      <sheetName val="Hidden"/>
      <sheetName val="ЛСЦ начисленное на 31.12.08"/>
      <sheetName val="ЛЛизинг начис. на 31.12.08"/>
      <sheetName val="1NK"/>
      <sheetName val="Datasheet"/>
      <sheetName val="Форма2"/>
      <sheetName val="Форма1"/>
      <sheetName val="$ IS"/>
      <sheetName val="PP&amp;E mvt for 2003"/>
      <sheetName val="breakdown"/>
      <sheetName val="FA depreciation"/>
      <sheetName val="МодельППП (Свод)"/>
      <sheetName val="Production_Ref Q-1-3"/>
      <sheetName val="Б.мчас (П)"/>
      <sheetName val="Analytics"/>
      <sheetName val="Additions_Disposals"/>
      <sheetName val="P&amp;L"/>
      <sheetName val="Provisions"/>
      <sheetName val="Movement"/>
      <sheetName val="XREF"/>
      <sheetName val="Курсы"/>
      <sheetName val="Additions testing"/>
      <sheetName val="Movement schedule"/>
      <sheetName val="FA Movement "/>
      <sheetName val="Огл. Графиков"/>
      <sheetName val="Текущие цены"/>
      <sheetName val="рабочий"/>
      <sheetName val="окраска"/>
      <sheetName val="calc"/>
      <sheetName val="GAAP TB 30.09.01  detail p&amp;l"/>
      <sheetName val="9-1"/>
      <sheetName val="4"/>
      <sheetName val="1-1"/>
      <sheetName val="HKM RTC Crude costs"/>
      <sheetName val="TB"/>
      <sheetName val="PR CN"/>
      <sheetName val="ТЭП старая"/>
      <sheetName val="Deferred tax liability (asset)"/>
      <sheetName val="Март"/>
      <sheetName val="Сентябрь"/>
      <sheetName val="Квартал"/>
      <sheetName val="Январь"/>
      <sheetName val="Декабрь"/>
      <sheetName val="Ноябрь"/>
      <sheetName val="mis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de purchases"/>
      <sheetName val="801.7020"/>
      <sheetName val="802.7110"/>
      <sheetName val="802.6600"/>
      <sheetName val="802.6500 ok"/>
      <sheetName val="802.7100 ok"/>
      <sheetName val="$ IS"/>
      <sheetName val="Список документов"/>
      <sheetName val="7"/>
      <sheetName val="10"/>
      <sheetName val="1"/>
      <sheetName val="Links"/>
      <sheetName val="Balance Sheet"/>
      <sheetName val="GAAP TB 30.09.01  detail p&amp;l"/>
      <sheetName val="ЦентрЗатр"/>
      <sheetName val="ЕдИзм"/>
      <sheetName val="Предпр"/>
      <sheetName val="ЛСЦ начисленное на 31.12.08"/>
      <sheetName val="ЛЛизинг начис. на 31.12.08"/>
      <sheetName val="Форма2"/>
      <sheetName val="1.3.2 ОТМ"/>
      <sheetName val="P&amp;L"/>
      <sheetName val="Provisions"/>
      <sheetName val="Cur portion of L-t loans 2006"/>
      <sheetName val="9-1"/>
      <sheetName val="1NK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документов"/>
      <sheetName val="1"/>
      <sheetName val="1-1"/>
      <sheetName val="2"/>
      <sheetName val="2-1"/>
      <sheetName val="3"/>
      <sheetName val="3-2"/>
      <sheetName val="3-3"/>
      <sheetName val="3-4"/>
      <sheetName val="4"/>
      <sheetName val="4-1"/>
      <sheetName val="4-2"/>
      <sheetName val="4-3"/>
      <sheetName val="5"/>
      <sheetName val="5-1"/>
      <sheetName val="6"/>
      <sheetName val="8"/>
      <sheetName val="9"/>
      <sheetName val="9-1"/>
      <sheetName val="9-2"/>
      <sheetName val="10"/>
      <sheetName val="10-1"/>
      <sheetName val="10-2"/>
      <sheetName val="11"/>
      <sheetName val="11-1"/>
      <sheetName val="12"/>
      <sheetName val="13"/>
      <sheetName val="GAAP TB 30.09.01  detail p&amp;l"/>
      <sheetName val="$ IS"/>
      <sheetName val="P&amp;L"/>
      <sheetName val="Provisions"/>
      <sheetName val="Cur portion of L-t loans 2006"/>
      <sheetName val="Worksheet in   CAS - Список инф"/>
      <sheetName val="services.01"/>
      <sheetName val="Threshold Calc"/>
      <sheetName val="utilities.01"/>
      <sheetName val="9_1"/>
      <sheetName val="7"/>
      <sheetName val="ЦентрЗатр"/>
      <sheetName val="ЕдИзм"/>
      <sheetName val="Предпр"/>
      <sheetName val="Hidden"/>
      <sheetName val="breakdown"/>
      <sheetName val="FA(2)"/>
      <sheetName val="FA depreciation"/>
      <sheetName val="Справочники"/>
      <sheetName val="1.3.2 ОТМ"/>
      <sheetName val="Форма2"/>
      <sheetName val="Balance Sheet"/>
      <sheetName val="ТМЗ-6"/>
      <sheetName val="Additions testing"/>
      <sheetName val="Movement schedule"/>
      <sheetName val="depreciation testing"/>
      <sheetName val="Форма1"/>
      <sheetName val="Production_Ref Q-1-3"/>
      <sheetName val="ЛСЦ начисленное на 31.12.08"/>
      <sheetName val="ВСДС_1 (MAIN)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Anlagevermögen"/>
      <sheetName val="Info"/>
      <sheetName val="4. NWABC"/>
      <sheetName val="U-ZR_AT1.XLS"/>
      <sheetName val="2.2 ОтклОТМ"/>
      <sheetName val="Kolommen_balans"/>
      <sheetName val="табл 9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od"/>
      <sheetName val="Rent"/>
      <sheetName val="Guesthouse"/>
      <sheetName val="Travel local"/>
      <sheetName val="Receivables"/>
      <sheetName val="#REF"/>
      <sheetName val="Anlagevermögen"/>
      <sheetName val="#ССЫЛКА"/>
      <sheetName val="GAAP TB 30.09.01  detail p&amp;l"/>
      <sheetName val="$ IS"/>
      <sheetName val="9-1"/>
      <sheetName val="4"/>
      <sheetName val="1-1"/>
      <sheetName val="1"/>
      <sheetName val="Список документов"/>
      <sheetName val="7"/>
      <sheetName val="10"/>
      <sheetName val="Production_Ref Q-1-3"/>
      <sheetName val="GAAP TB 31.12.01  detail p&amp;l"/>
      <sheetName val="05"/>
      <sheetName val="Hidden"/>
      <sheetName val="ЦентрЗатр"/>
      <sheetName val="ЕдИзм"/>
      <sheetName val="Предпр"/>
      <sheetName val="1.3.2 ОТ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2001"/>
      <sheetName val="Q1 PIVOT"/>
      <sheetName val="G&amp;A Q1 2001"/>
      <sheetName val="G&amp;A Q4 2000"/>
      <sheetName val="Q1 2000 PIVOT"/>
      <sheetName val="Q1 2000 detail"/>
      <sheetName val="Tickmarks"/>
      <sheetName val="Production_Ref Q-1-3"/>
      <sheetName val="Anlagevermögen"/>
      <sheetName val="G&amp;A analysis_March"/>
      <sheetName val="GAAP TB 31.12.01  detail p&amp;l"/>
      <sheetName val="GAAP TB 30.09.01  detail p&amp;l"/>
      <sheetName val="Форма2"/>
      <sheetName val="Reference"/>
      <sheetName val="$ IS"/>
      <sheetName val="9-1"/>
      <sheetName val="4"/>
      <sheetName val="1-1"/>
      <sheetName val="1"/>
      <sheetName val="Hidden"/>
      <sheetName val="Список документов"/>
      <sheetName val="7"/>
      <sheetName val="10"/>
      <sheetName val="FA Movement "/>
      <sheetName val="9"/>
      <sheetName val="depreciation testing"/>
      <sheetName val="XREF"/>
      <sheetName val="Справочники"/>
      <sheetName val="ЦентрЗатр"/>
      <sheetName val="FA Movement Kyrg"/>
      <sheetName val="Форма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form"/>
      <sheetName val="XLR_NoRangeSheet"/>
      <sheetName val="Production_Ref Q-1-3"/>
      <sheetName val="1"/>
      <sheetName val="фот пп2000разбивка"/>
      <sheetName val="1NK"/>
      <sheetName val="Financial ratios А3"/>
      <sheetName val="2_2 ОтклОТМ"/>
      <sheetName val="1_3_2 ОТМ"/>
      <sheetName val="из сем"/>
      <sheetName val="I. Прогноз доходов"/>
      <sheetName val="Production_ref_Q4"/>
      <sheetName val="Sales-COS"/>
      <sheetName val="PP&amp;E mvt for 2003"/>
      <sheetName val="U2 775 - COGS comparison per su"/>
      <sheetName val="ЗАО_н.ит"/>
      <sheetName val="#ССЫЛКА"/>
      <sheetName val="ЗАО_мес"/>
      <sheetName val="Analytics"/>
      <sheetName val="GAAP TB 31.12.01  detail p&amp;l"/>
      <sheetName val="FA Movement Kyrg"/>
      <sheetName val="Reference"/>
      <sheetName val="Anlagevermögen"/>
      <sheetName val="Список документов"/>
      <sheetName val="перевозки"/>
      <sheetName val="Pbs_Wbs_ATC"/>
      <sheetName val="Non-Statistical Sampling Master"/>
      <sheetName val="Global Data"/>
      <sheetName val="SMSTemp"/>
      <sheetName val="GAAP TB 30.09.01  detail p&amp;l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MetaData"/>
      <sheetName val="Balance Sheet"/>
      <sheetName val="$ I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ОборБалФормОтч"/>
      <sheetName val="ТитулЛистОтч"/>
      <sheetName val="ЛСЦ начисленное на 31.12.08"/>
      <sheetName val="ЛЛизинг начис. на 31.12.08"/>
      <sheetName val="ВОЛС"/>
      <sheetName val="A-20"/>
      <sheetName val="Инв.вл"/>
      <sheetName val="факт 2005 г."/>
      <sheetName val="д.7.001"/>
      <sheetName val="свод грузоотпр."/>
      <sheetName val="Содержание"/>
      <sheetName val="7НК"/>
      <sheetName val="11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10"/>
      <sheetName val="7"/>
      <sheetName val="PIT&amp;PP(2)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ecios"/>
      <sheetName val="Production_analysis"/>
      <sheetName val="Comp06"/>
      <sheetName val="Keys"/>
      <sheetName val="breakdown"/>
      <sheetName val="P&amp;L"/>
      <sheetName val="Provisions"/>
      <sheetName val="FA depreciation"/>
      <sheetName val="N"/>
      <sheetName val="ОТиТБ"/>
      <sheetName val="78"/>
      <sheetName val="PM-TE"/>
      <sheetName val="Test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6НК-cт."/>
      <sheetName val="Interco payables&amp;receivables"/>
      <sheetName val="Курс"/>
      <sheetName val="Inputs"/>
      <sheetName val="Лист3"/>
      <sheetName val="TOC"/>
      <sheetName val="NPV"/>
      <sheetName val="План произв-ва (мес.) (бюджет)"/>
      <sheetName val="Итоговая таблица"/>
      <sheetName val="Расчет2000Прямой"/>
      <sheetName val="1 (2)"/>
      <sheetName val="Settings"/>
      <sheetName val="Profiles"/>
      <sheetName val="Wells"/>
      <sheetName val="InputTI"/>
      <sheetName val="3НК"/>
      <sheetName val="153541"/>
      <sheetName val="CD-실적"/>
      <sheetName val="FS-97"/>
      <sheetName val="PY misstateme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Нефть"/>
      <sheetName val="1NK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ЦентрЗатр"/>
      <sheetName val="ЕдИзм"/>
      <sheetName val="Предпр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свод"/>
      <sheetName val="группа"/>
      <sheetName val="2006 AJE RJE"/>
      <sheetName val="Другие расходы"/>
      <sheetName val="Форма 4 кап.зат-ты (2)"/>
      <sheetName val="Статьи"/>
      <sheetName val="2.2 ОтклОТМ"/>
      <sheetName val="1.3.2 ОТМ"/>
      <sheetName val="FES"/>
      <sheetName val="H3.100 Rollforward"/>
      <sheetName val="Б.мчас (П)"/>
      <sheetName val="Налоги"/>
      <sheetName val="9"/>
      <sheetName val="Analytics"/>
      <sheetName val="Info"/>
      <sheetName val="Production_Ref Q-1-3"/>
      <sheetName val="XREF"/>
      <sheetName val="Список документов"/>
      <sheetName val="ОТЧЕТ КТЖ 01.01.09"/>
      <sheetName val="FA Movement Kyrg"/>
      <sheetName val="FA Movement "/>
      <sheetName val="depreciation testing"/>
      <sheetName val="Anlagevermögen"/>
      <sheetName val="База"/>
      <sheetName val="из сем"/>
      <sheetName val="Собственный капитал"/>
      <sheetName val="Movements"/>
      <sheetName val="Hidden"/>
      <sheetName val="GAAP TB 31.12.01  detail p&amp;l"/>
      <sheetName val="8180 (8181,8182)"/>
      <sheetName val="8082"/>
      <sheetName val="8113"/>
      <sheetName val="Balance Sheet"/>
      <sheetName val="Movement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УПРАВЛЕНИЕ11"/>
      <sheetName val="Pbs_Wbs_ATC"/>
      <sheetName val="Disclosure"/>
      <sheetName val="Бонды стр.341"/>
      <sheetName val="summary"/>
      <sheetName val="Capex"/>
      <sheetName val="INSTRUCTIONS"/>
      <sheetName val="SMSTemp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ВСДС_1 (MAIN)"/>
      <sheetName val="Март"/>
      <sheetName val="Сентябрь"/>
      <sheetName val="Квартал"/>
      <sheetName val="Декабрь"/>
      <sheetName val="Ноябрь"/>
      <sheetName val="Precios"/>
      <sheetName val="Threshold Table"/>
      <sheetName val="1"/>
      <sheetName val="Курсы"/>
      <sheetName val="Links"/>
      <sheetName val="ТМЗ-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KB som (3)"/>
      <sheetName val="Sheet1"/>
      <sheetName val="Tickmarks"/>
      <sheetName val="Выбытие ОС"/>
      <sheetName val="Additions_Disposals"/>
      <sheetName val="SocFund"/>
      <sheetName val="Лист1"/>
      <sheetName val="Circularization"/>
      <sheetName val="Loan portfolio as of 30.09.03"/>
      <sheetName val="11201"/>
      <sheetName val="11204"/>
      <sheetName val="10150"/>
      <sheetName val="10001"/>
      <sheetName val="Roll 2003"/>
      <sheetName val="Roll 2002"/>
      <sheetName val="Roll 2002 (9mo)"/>
      <sheetName val="Contingent liability LLR"/>
      <sheetName val="PL 2003"/>
      <sheetName val="PL 2002"/>
      <sheetName val="PL 2002 (9mo)"/>
      <sheetName val="Sheet1 (2)"/>
      <sheetName val="Reconciliation"/>
      <sheetName val="By decades"/>
      <sheetName val="1633"/>
      <sheetName val="1630"/>
      <sheetName val="1635"/>
      <sheetName val="Sheet2"/>
      <sheetName val="Sheet1 (3)"/>
      <sheetName val="160304"/>
      <sheetName val="Roll (2)"/>
      <sheetName val="Roll"/>
      <sheetName val="Services in COP"/>
      <sheetName val="Production report1"/>
      <sheetName val="Production report2"/>
      <sheetName val="Лист5"/>
      <sheetName val="COP(charge)"/>
      <sheetName val="Finished goods 2002"/>
      <sheetName val="Finished goods"/>
      <sheetName val="январь2003"/>
      <sheetName val="Лист3"/>
      <sheetName val="Лист6 (2)"/>
      <sheetName val="Work in progress"/>
      <sheetName val="Лист2"/>
      <sheetName val="Лист3 (2)"/>
      <sheetName val="Лист4"/>
      <sheetName val="Лист6"/>
      <sheetName val="Лист9 (2)"/>
      <sheetName val="Лист12"/>
      <sheetName val="Production report"/>
      <sheetName val="Analisys"/>
      <sheetName val="LS Reconcilation"/>
      <sheetName val="Disposals TEST"/>
      <sheetName val="Additions TEST"/>
      <sheetName val="Sheet3"/>
      <sheetName val="USD"/>
      <sheetName val="EUR "/>
      <sheetName val="Au840978 (2)"/>
      <sheetName val="Au840978"/>
      <sheetName val="Unrealized"/>
      <sheetName val="840"/>
      <sheetName val="978"/>
      <sheetName val="DD Reserve calculation"/>
      <sheetName val="COP 2002"/>
      <sheetName val="COP 2003"/>
      <sheetName val="Sheet6"/>
      <sheetName val="Sheet5"/>
      <sheetName val="1790"/>
      <sheetName val="1610"/>
      <sheetName val="3290"/>
      <sheetName val="3430-south"/>
      <sheetName val="1610-south"/>
      <sheetName val="LLP per DT"/>
      <sheetName val="Bishkekkuru"/>
      <sheetName val="запрос"/>
      <sheetName val="Final Audit 311204"/>
      <sheetName val="Rough estimation"/>
      <sheetName val="BS 2004"/>
      <sheetName val="PL 2004"/>
      <sheetName val="BS 2003"/>
      <sheetName val="SS for final audit"/>
      <sheetName val="blank"/>
      <sheetName val="Турдакунов"/>
      <sheetName val="Тоголокова"/>
      <sheetName val="Фатуллаев"/>
      <sheetName val="Сейталиева"/>
      <sheetName val="Самаков"/>
      <sheetName val="Сартбаев"/>
      <sheetName val="ЧП Суховетрова"/>
      <sheetName val="Платонова"/>
      <sheetName val="Момункулова"/>
      <sheetName val="Sydykov K."/>
      <sheetName val="Dusheev Omurbek-Karakol (2)"/>
      <sheetName val="THEPS"/>
      <sheetName val="BHPP"/>
      <sheetName val="1620-THEPS"/>
      <sheetName val="1720-THEPS"/>
      <sheetName val="1730-THEPS"/>
      <sheetName val="1790-THEPS"/>
      <sheetName val="Loans"/>
      <sheetName val="Interest recalc"/>
      <sheetName val="Almaty-disposal"/>
      <sheetName val="Outstanding by companies"/>
      <sheetName val="Payroll testing"/>
      <sheetName val="Payroll taxes testing"/>
      <sheetName val="Local Employee"/>
      <sheetName val="Vacation reserve"/>
      <sheetName val="Expected vs Actual"/>
      <sheetName val="Threshold Calc"/>
      <sheetName val="Early"/>
      <sheetName val="Late"/>
      <sheetName val="FA Movement Kyrg"/>
      <sheetName val="BS"/>
      <sheetName val="PL"/>
      <sheetName val="Форма2"/>
      <sheetName val="HO 3310"/>
      <sheetName val="S3310"/>
      <sheetName val="Z3310"/>
      <sheetName val="U3310"/>
      <sheetName val="H3320"/>
      <sheetName val="S3320"/>
      <sheetName val="Z3320"/>
      <sheetName val="U3320"/>
      <sheetName val="H3390"/>
      <sheetName val="S3390"/>
      <sheetName val="Z3390"/>
      <sheetName val="U3390"/>
      <sheetName val="H3510"/>
      <sheetName val="S3510"/>
      <sheetName val="Z3510"/>
      <sheetName val="U3510"/>
      <sheetName val="U3360"/>
      <sheetName val="Sheet9"/>
      <sheetName val="Sheet4"/>
      <sheetName val="PBC 725 &amp; 844 "/>
      <sheetName val="Discounting_9%"/>
      <sheetName val="HO TB in excel @311208"/>
      <sheetName val="HO"/>
      <sheetName val="3"/>
      <sheetName val="Kegoc service"/>
      <sheetName val="Batisservice"/>
      <sheetName val="Energoinform"/>
      <sheetName val="XREF"/>
      <sheetName val="Cash flow projections PBC 2005"/>
      <sheetName val="Non-residents"/>
      <sheetName val="_x0000__x0000__x0000_C_x0008__x0000__x000d__x0000__x0000__x0000_"/>
      <sheetName val=""/>
      <sheetName val="mvnt"/>
      <sheetName val="Production_Ref Q-1-3"/>
      <sheetName val="movement"/>
      <sheetName val="Свод"/>
      <sheetName val="работы и услуги сторонние"/>
      <sheetName val="работы и услуги АО &quot;НК&quot;КТЖ&quot;"/>
      <sheetName val="работы и услуги дочерние"/>
      <sheetName val="прочие"/>
      <sheetName val="субподряд 01.01.10г"/>
      <sheetName val="VFO-25"/>
      <sheetName val="VFO-24"/>
      <sheetName val="VFO-26"/>
      <sheetName val="AUDIT REPORT REVISED"/>
      <sheetName val="BALANCE SHEET"/>
      <sheetName val="P&amp;L, CF and Notes"/>
      <sheetName val="Note-13"/>
      <sheetName val="Changes in equity"/>
      <sheetName val="working of cash flow"/>
      <sheetName val="BALANCE SHEET (2)"/>
      <sheetName val="Sheet1 (4)"/>
      <sheetName val="CMA - 671 acc. DR"/>
      <sheetName val="pbc_1350-8011"/>
      <sheetName val="Test1350-8011"/>
      <sheetName val="Moinkym"/>
      <sheetName val="Analytic"/>
      <sheetName val="Brk"/>
      <sheetName val="Консолидация"/>
      <sheetName val="EJE (2)"/>
      <sheetName val="Disc"/>
      <sheetName val="EJE"/>
      <sheetName val="TOD TZZ"/>
      <sheetName val="Obsolete TZZ"/>
      <sheetName val="Investments"/>
      <sheetName val="AR_KM"/>
      <sheetName val="Fin. aid"/>
      <sheetName val="PBC"/>
      <sheetName val="Weighted Average Method Test"/>
      <sheetName val="???C_x0008_?_x000d_???"/>
      <sheetName val="Related Parties"/>
      <sheetName val="Elimin"/>
      <sheetName val="СД_311211 (3)"/>
      <sheetName val="Ф2_ЕНПФ_июль"/>
      <sheetName val="_x0000__x0000__x0000_C_x0008__x0000__x000a__x0000__x0000__x0000_"/>
      <sheetName val="???C_x0008_?_x000a_???"/>
      <sheetName val="Список документов"/>
      <sheetName val="7"/>
      <sheetName val="10"/>
      <sheetName val="1"/>
      <sheetName val="FA Movement "/>
      <sheetName val="depreciation testing"/>
      <sheetName val="Test on reserve on vacation"/>
      <sheetName val="COS"/>
      <sheetName val="100_17"/>
      <sheetName val="Other expenses"/>
      <sheetName val="6XXX"/>
      <sheetName val="6012"/>
      <sheetName val="6015"/>
      <sheetName val="6017"/>
      <sheetName val="6018"/>
      <sheetName val="6019"/>
      <sheetName val="6280"/>
      <sheetName val="6282"/>
      <sheetName val="7XXX"/>
      <sheetName val="100"/>
      <sheetName val="8"/>
      <sheetName val="НР-18"/>
      <sheetName val="TZZ"/>
      <sheetName val="Promissory notes- TZZ"/>
      <sheetName val="TZE"/>
      <sheetName val="Summary"/>
      <sheetName val="Datasheet"/>
      <sheetName val="Anlagevermögen"/>
      <sheetName val="GAAP TB 30.09.01  detail p&amp;l"/>
      <sheetName val="Hidden"/>
      <sheetName val="ЛСЦ начисленное на 31.12.08"/>
      <sheetName val="9"/>
      <sheetName val="Capex"/>
      <sheetName val="Форма1"/>
      <sheetName val="2.2 ОтклОТМ"/>
      <sheetName val="1.3.2 ОТМ"/>
      <sheetName val="Предпр"/>
      <sheetName val="ЦентрЗатр"/>
      <sheetName val="ЕдИзм"/>
      <sheetName val="Movements"/>
      <sheetName val="PP&amp;E mvt for 2003"/>
      <sheetName val="GAAP TB 31.12.01  detail p&amp;l"/>
      <sheetName val="P&amp;L"/>
      <sheetName val="Provisions"/>
      <sheetName val="ВСДС_1 (MAIN)"/>
      <sheetName val="3320"/>
      <sheetName val="1210"/>
      <sheetName val="1030"/>
      <sheetName val="ЛЛизинг начис. на 31.12.08"/>
      <sheetName val="9-1"/>
      <sheetName val="4"/>
      <sheetName val="1-1"/>
      <sheetName val="$ IS"/>
      <sheetName val="Disclosure"/>
      <sheetName val="Selection"/>
      <sheetName val="Audit Sample Table (2)"/>
      <sheetName val="Собственный капитал"/>
      <sheetName val="сверка 1"/>
      <sheetName val="TB"/>
      <sheetName val="Taxes"/>
      <sheetName val="GM Analysis"/>
      <sheetName val="1NK"/>
      <sheetName val="КВ"/>
      <sheetName val="Links"/>
      <sheetName val="Lead"/>
      <sheetName val="5"/>
      <sheetName val="Статьи"/>
      <sheetName val="FAR 04"/>
      <sheetName val="Б.мчас (П)"/>
      <sheetName val="___C_x0008___x000d____"/>
      <sheetName val="___C_x0008______"/>
      <sheetName val="___C_x0008___x000a____"/>
      <sheetName val="Summary from Halyk bank"/>
      <sheetName val="Interest rates"/>
      <sheetName val="IS"/>
      <sheetName val="Subscriptions"/>
      <sheetName val="Share Register"/>
      <sheetName val="Register  30.06.2008"/>
      <sheetName val="Income tax"/>
      <sheetName val="declar. on expense (PBC) 2008"/>
      <sheetName val="declar. on income (PBC) 2008"/>
      <sheetName val="80611"/>
      <sheetName val="61099"/>
      <sheetName val="80029"/>
      <sheetName val="80312"/>
      <sheetName val="80311"/>
      <sheetName val="80399"/>
      <sheetName val="80509"/>
      <sheetName val="80303"/>
      <sheetName val="80305"/>
      <sheetName val="ОС менее 10 000 "/>
      <sheetName val="Rollfwd 2007"/>
      <sheetName val="Rollfwd 2006"/>
      <sheetName val="Test of OB"/>
      <sheetName val="Additions 30.09.07"/>
      <sheetName val="Additions 3 month."/>
      <sheetName val="Disposal 31.12.07"/>
      <sheetName val="Depreciation"/>
      <sheetName val="Tickmarks (2)"/>
      <sheetName val="Испытание защ. средств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/>
      <sheetData sheetId="144" refreshError="1"/>
      <sheetData sheetId="145" refreshError="1"/>
      <sheetData sheetId="146"/>
      <sheetData sheetId="147" refreshError="1"/>
      <sheetData sheetId="148" refreshError="1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/>
      <sheetData sheetId="173" refreshError="1"/>
      <sheetData sheetId="174" refreshError="1"/>
      <sheetData sheetId="175"/>
      <sheetData sheetId="176"/>
      <sheetData sheetId="177"/>
      <sheetData sheetId="178"/>
      <sheetData sheetId="179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/>
      <sheetData sheetId="191" refreshError="1"/>
      <sheetData sheetId="192" refreshError="1"/>
      <sheetData sheetId="193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_FES"/>
      <sheetName val="map_nat"/>
      <sheetName val="map_RPG"/>
      <sheetName val="Profit &amp; Loss Total"/>
      <sheetName val="12 месяцев 2010"/>
      <sheetName val="КТЖ БДР"/>
      <sheetName val="Нефть"/>
      <sheetName val="Форма2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IPR_VOG"/>
      <sheetName val="6НК-cт."/>
      <sheetName val="Precios"/>
      <sheetName val="СписокТЭП"/>
      <sheetName val="Data-in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Ural med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Dictionaries"/>
      <sheetName val="Содержание"/>
      <sheetName val="4 000 000 тыс.тг"/>
      <sheetName val="15 000 000 тыс.тг"/>
      <sheetName val="ЦХЛ 2004"/>
      <sheetName val="2210900-Aug"/>
      <sheetName val="Фин.обязат."/>
      <sheetName val="Financial ratios А3"/>
      <sheetName val="December(начис)_ZKM-ZinBV"/>
      <sheetName val="ЦентрЗатр"/>
      <sheetName val="ЕдИзм"/>
      <sheetName val="Предпр"/>
      <sheetName val="t0_name"/>
      <sheetName val="InputTD"/>
      <sheetName val="K_750_Sl_KPMG_report_Test"/>
      <sheetName val="K_300_RFD_KMG EP"/>
      <sheetName val="K_200_ES"/>
      <sheetName val="K_101_DDA_LS"/>
      <sheetName val="K_310_RFD_Uzen_rev"/>
      <sheetName val="K_120_FA_Sale"/>
      <sheetName val="I-Index"/>
      <sheetName val="ЦТУ (касса)"/>
      <sheetName val="ЕБРР"/>
      <sheetName val="ЕБРР 200 млн.$ 24.05.12"/>
      <sheetName val="Самрук"/>
      <sheetName val="БРК-188,2"/>
      <sheetName val="LME_prices"/>
      <sheetName val="5NK "/>
      <sheetName val="Доходы всего"/>
      <sheetName val="Доходы обороты"/>
      <sheetName val="ЛСЦ начисленное на 31.12.08"/>
      <sheetName val="ЛЛизинг начис. на 31.12.08"/>
      <sheetName val="ремонтТ9"/>
      <sheetName val="ктж"/>
      <sheetName val="ЖДА"/>
      <sheetName val="Доступ к МЖС"/>
      <sheetName val="авансы"/>
      <sheetName val="мать факт (изм НДС)"/>
      <sheetName val="ПВД"/>
      <sheetName val="прочие поступления"/>
      <sheetName val="кредитный бюджет 2014"/>
      <sheetName val="разработочная"/>
      <sheetName val="прочие выб по дзо"/>
      <sheetName val="инвест.разбивка"/>
      <sheetName val="оплата БЗ и ОСО для БДДС"/>
      <sheetName val="Соц.сфера"/>
      <sheetName val="расходы КТЖ"/>
      <sheetName val="Налоги"/>
      <sheetName val="прочие выбытия "/>
      <sheetName val="депозиты 2014"/>
      <sheetName val="УК и ФП"/>
      <sheetName val="бюджет 2013_освоение_)"/>
      <sheetName val="Production_Ref Q-1-3"/>
      <sheetName val="Analytics"/>
      <sheetName val="касса 2015-2019 год займы 16081"/>
      <sheetName val="FA Movement Kyrg"/>
      <sheetName val="База"/>
      <sheetName val="ОТиТБ"/>
      <sheetName val="бюджет 2015 займы 200815"/>
      <sheetName val="ОРУ ДО"/>
      <sheetName val="Добыча нефти4"/>
      <sheetName val="поставка сравн13"/>
      <sheetName val="из сем"/>
      <sheetName val="Форма3.6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ФОТ"/>
      <sheetName val="Титул1"/>
      <sheetName val="свод ао"/>
      <sheetName val="депозиты"/>
      <sheetName val="Статьи"/>
      <sheetName val="6НК"/>
      <sheetName val="Settings"/>
      <sheetName val="Transport overview"/>
      <sheetName val="Баланс"/>
      <sheetName val="Control"/>
      <sheetName val="B-4"/>
      <sheetName val="MAIN"/>
      <sheetName val="факт 2005 г."/>
      <sheetName val="2.2 ОтклОТМ"/>
      <sheetName val="1.3.2 ОТМ"/>
      <sheetName val="ГК лохл"/>
      <sheetName val="Апш"/>
      <sheetName val="Кумк"/>
      <sheetName val="Колум"/>
      <sheetName val="А Девел"/>
      <sheetName val="А Апш"/>
      <sheetName val="Девел"/>
      <sheetName val="А Кумк"/>
      <sheetName val="Экспл КОНС"/>
      <sheetName val="В-П"/>
      <sheetName val="А В-П"/>
      <sheetName val="А В-П КОНС"/>
      <sheetName val="БВО"/>
      <sheetName val="ЛОХЛ СВОД"/>
      <sheetName val="А ЛОХЛ СВОД"/>
      <sheetName val="А БВО"/>
      <sheetName val="Транспорт"/>
      <sheetName val="Расчет эксп бурения"/>
      <sheetName val="свод КВЛ (на печать)"/>
      <sheetName val="Данные"/>
      <sheetName val="сброс"/>
      <sheetName val="Hidden"/>
      <sheetName val="ДР 2011"/>
      <sheetName val="себ с ув."/>
      <sheetName val="KR(СВОД)"/>
      <sheetName val="д1"/>
      <sheetName val="СИ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документов"/>
      <sheetName val="1"/>
      <sheetName val="1.1"/>
      <sheetName val="1.2"/>
      <sheetName val="1.3"/>
      <sheetName val="1.4"/>
      <sheetName val="2"/>
      <sheetName val="3"/>
      <sheetName val="3.1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Лист2"/>
      <sheetName val="Лист1"/>
      <sheetName val="2 прилож"/>
      <sheetName val="ЛСЦ начисленное на 31.12.08"/>
      <sheetName val="ЛЛизинг начис. на 31.12.08"/>
      <sheetName val="FA Movement Kyrg"/>
      <sheetName val="ЦентрЗатр"/>
      <sheetName val="ЕдИзм"/>
      <sheetName val="Предпр"/>
      <sheetName val="ВОЛС"/>
      <sheetName val="2.2 ОтклОТМ"/>
      <sheetName val="1.3.2 ОТМ"/>
      <sheetName val="Links"/>
      <sheetName val="Anlagevermögen"/>
      <sheetName val="P&amp;L"/>
      <sheetName val="Provisions"/>
      <sheetName val="GAAP TB 30.09.01  detail p&amp;l"/>
      <sheetName val="1NK"/>
      <sheetName val="breakdown"/>
      <sheetName val="FA depreciation"/>
      <sheetName val="Balance Sheet"/>
      <sheetName val="Форма2"/>
      <sheetName val="FA Movement "/>
      <sheetName val="depreciation testing"/>
      <sheetName val="SA Procedures"/>
      <sheetName val="MetaData"/>
      <sheetName val="Добыча нефти4"/>
      <sheetName val="$ IS"/>
      <sheetName val="2013"/>
      <sheetName val="2012"/>
      <sheetName val="2011"/>
      <sheetName val="2009"/>
      <sheetName val="GAAP TB 31.12.01  detail p&amp;l"/>
      <sheetName val="Hidden"/>
      <sheetName val="Deferred tax"/>
      <sheetName val="1-1"/>
      <sheetName val="Форма1"/>
      <sheetName val="ОТиТБ"/>
      <sheetName val="из сем"/>
      <sheetName val="Capex"/>
      <sheetName val="Собственный капитал"/>
      <sheetName val="Production_Ref Q-1-3"/>
      <sheetName val="Additions_Disposals"/>
      <sheetName val="Данные для расчета"/>
      <sheetName val="DB20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_FES"/>
      <sheetName val="map_nat"/>
      <sheetName val="map_RPG"/>
      <sheetName val="Profit &amp; Loss Total"/>
      <sheetName val="12 месяцев 2010"/>
      <sheetName val="Нефть"/>
      <sheetName val="IPR_VOG"/>
      <sheetName val="6НК-cт."/>
      <sheetName val="ЛСЦ начисленное на 31.12.08"/>
      <sheetName val="ЛЛизинг начис. на 31.12.08"/>
      <sheetName val="КТЖ БДР"/>
      <sheetName val="Форма2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Precios"/>
      <sheetName val="СписокТЭП"/>
      <sheetName val="Data-in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Ural med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Dictionaries"/>
      <sheetName val="Содержание"/>
      <sheetName val="4 000 000 тыс.тг"/>
      <sheetName val="15 000 000 тыс.тг"/>
      <sheetName val="ЦХЛ 2004"/>
      <sheetName val="2210900-Aug"/>
      <sheetName val="Фин.обязат."/>
      <sheetName val="Financial ratios А3"/>
      <sheetName val="December(начис)_ZKM-ZinBV"/>
      <sheetName val="ЦентрЗатр"/>
      <sheetName val="ЕдИзм"/>
      <sheetName val="Предпр"/>
      <sheetName val="t0_name"/>
      <sheetName val="InputTD"/>
      <sheetName val="K_750_Sl_KPMG_report_Test"/>
      <sheetName val="K_300_RFD_KMG EP"/>
      <sheetName val="K_200_ES"/>
      <sheetName val="K_101_DDA_LS"/>
      <sheetName val="K_310_RFD_Uzen_rev"/>
      <sheetName val="K_120_FA_Sale"/>
      <sheetName val="I-Index"/>
      <sheetName val="ЦТУ (касса)"/>
      <sheetName val="ЕБРР"/>
      <sheetName val="ЕБРР 200 млн.$ 24.05.12"/>
      <sheetName val="Самрук"/>
      <sheetName val="БРК-188,2"/>
      <sheetName val="LME_prices"/>
      <sheetName val="5NK "/>
      <sheetName val="Доходы всего"/>
      <sheetName val="Доходы обороты"/>
      <sheetName val="ремонтТ9"/>
      <sheetName val="ктж"/>
      <sheetName val="ЖДА"/>
      <sheetName val="Доступ к МЖС"/>
      <sheetName val="авансы"/>
      <sheetName val="мать факт (изм НДС)"/>
      <sheetName val="ПВД"/>
      <sheetName val="прочие поступления"/>
      <sheetName val="кредитный бюджет 2014"/>
      <sheetName val="разработочная"/>
      <sheetName val="прочие выб по дзо"/>
      <sheetName val="инвест.разбивка"/>
      <sheetName val="оплата БЗ и ОСО для БДДС"/>
      <sheetName val="Соц.сфера"/>
      <sheetName val="расходы КТЖ"/>
      <sheetName val="Налоги"/>
      <sheetName val="прочие выбытия "/>
      <sheetName val="депозиты 2014"/>
      <sheetName val="УК и ФП"/>
      <sheetName val="бюджет 2013_освоение_)"/>
      <sheetName val="Production_Ref Q-1-3"/>
      <sheetName val="Analytics"/>
      <sheetName val="касса 2015-2019 год займы 16081"/>
      <sheetName val="FA Movement Kyrg"/>
      <sheetName val="База"/>
      <sheetName val="ОТиТБ"/>
      <sheetName val="бюджет 2015 займы 200815"/>
      <sheetName val="ОРУ ДО"/>
      <sheetName val="6НК"/>
      <sheetName val="Settings"/>
      <sheetName val="Transport overview"/>
      <sheetName val="Баланс"/>
      <sheetName val="Control"/>
      <sheetName val="B-4"/>
      <sheetName val="депозиты"/>
      <sheetName val="Статьи"/>
      <sheetName val="MAIN"/>
      <sheetName val="факт 2005 г.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ФОТ"/>
      <sheetName val="Добыча нефти4"/>
      <sheetName val="поставка сравн13"/>
      <sheetName val="из сем"/>
      <sheetName val="Форма3.6"/>
      <sheetName val="Титул1"/>
      <sheetName val="свод ао"/>
      <sheetName val="2.2 ОтклОТМ"/>
      <sheetName val="1.3.2 ОТМ"/>
      <sheetName val="ГК лохл"/>
      <sheetName val="Апш"/>
      <sheetName val="Кумк"/>
      <sheetName val="Колум"/>
      <sheetName val="А Девел"/>
      <sheetName val="А Апш"/>
      <sheetName val="Девел"/>
      <sheetName val="А Кумк"/>
      <sheetName val="Экспл КОНС"/>
      <sheetName val="В-П"/>
      <sheetName val="А В-П"/>
      <sheetName val="А В-П КОНС"/>
      <sheetName val="БВО"/>
      <sheetName val="ЛОХЛ СВОД"/>
      <sheetName val="А ЛОХЛ СВОД"/>
      <sheetName val="А БВО"/>
      <sheetName val="Транспорт"/>
      <sheetName val="Расчет эксп бурения"/>
      <sheetName val="свод КВЛ (на печать)"/>
      <sheetName val="Данные"/>
      <sheetName val="сброс"/>
      <sheetName val="Hidden"/>
      <sheetName val="ДР 2011"/>
      <sheetName val="себ с ув."/>
      <sheetName val="KR(СВОД)"/>
      <sheetName val="д1"/>
      <sheetName val="СИ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tion analysis"/>
      <sheetName val="Production_analysis"/>
      <sheetName val="Production_ref_Q4"/>
      <sheetName val="App-1, 901 acc_detailed_Q-4"/>
      <sheetName val="Production_Ref Q-1-3"/>
      <sheetName val="Sheet1"/>
      <sheetName val="Sheet2"/>
      <sheetName val="Sheet3"/>
      <sheetName val="Tickmarks"/>
      <sheetName val="#REF"/>
      <sheetName val="GAAP TB 31.12.01  detail p&amp;l"/>
      <sheetName val="Capex"/>
      <sheetName val="Anlagevermögen"/>
      <sheetName val="Цены"/>
      <sheetName val="2001 Detail"/>
      <sheetName val="00"/>
      <sheetName val="FES"/>
      <sheetName val="Production_Ref Q_1_3"/>
      <sheetName val="Содержание"/>
      <sheetName val="ЛСЦ начисленное на 31.12.08"/>
      <sheetName val="ЛЛизинг начис. на 31.12.08"/>
      <sheetName val="Hidden"/>
      <sheetName val="GAAP TB 30.09.01  detail p&amp;l"/>
      <sheetName val="Reference"/>
      <sheetName val="FA Movement Kyrg"/>
      <sheetName val="Форма2"/>
      <sheetName val="Cur portion of L-t loans 2006"/>
      <sheetName val="9-1"/>
      <sheetName val="4"/>
      <sheetName val="1-1"/>
      <sheetName val="1"/>
      <sheetName val="2.1 First order"/>
      <sheetName val="breakdown"/>
      <sheetName val="FA depreciation"/>
      <sheetName val="Balance Sheet"/>
      <sheetName val="$ IS"/>
      <sheetName val="Список документов"/>
      <sheetName val="7"/>
      <sheetName val="10"/>
      <sheetName val="Выбор"/>
      <sheetName val="AnP3-prod"/>
      <sheetName val="Index - Summary"/>
      <sheetName val="Income Statement"/>
      <sheetName val="#ССЫЛКА"/>
      <sheetName val="Собственный капитал"/>
      <sheetName val="Pbs_Wbs_ATC"/>
      <sheetName val="290"/>
      <sheetName val="Additions_Disposals"/>
      <sheetName val="ЦентрЗатр"/>
      <sheetName val="PP&amp;E mvt for 2003"/>
      <sheetName val="ЕдИзм"/>
      <sheetName val="Предпр"/>
      <sheetName val="Worksheet in 8350 Production Co"/>
      <sheetName val="Datasheet"/>
      <sheetName val="FA Movement "/>
      <sheetName val="depreciation testing"/>
      <sheetName val="4. NWABC"/>
      <sheetName val="Лист 1"/>
      <sheetName val="Prelim Cost"/>
      <sheetName val="AnP4-oil"/>
      <sheetName val="PYTB"/>
      <sheetName val="SMSTemp"/>
      <sheetName val="Post Frac"/>
      <sheetName val="IPR"/>
      <sheetName val="CPI"/>
      <sheetName val="Начало"/>
      <sheetName val="Non-Statistical Sampling"/>
      <sheetName val="Store"/>
      <sheetName val="InputTI"/>
      <sheetName val="name"/>
      <sheetName val="Cost 99v98"/>
      <sheetName val="Pivot"/>
      <sheetName val="July_03_Pg8"/>
      <sheetName val="coa co11"/>
      <sheetName val="база 639.0306"/>
      <sheetName val="1.3.2 ОТМ"/>
      <sheetName val="031 КТЖ  "/>
      <sheetName val="караганда"/>
      <sheetName val="Костанай"/>
      <sheetName val="Алматы"/>
      <sheetName val="шымкент"/>
      <sheetName val="актобе"/>
      <sheetName val="КВК"/>
      <sheetName val="ДВП"/>
      <sheetName val="дирекция"/>
    </sheetNames>
    <sheetDataSet>
      <sheetData sheetId="0" refreshError="1"/>
      <sheetData sheetId="1" refreshError="1"/>
      <sheetData sheetId="2">
        <row r="260">
          <cell r="E260">
            <v>124967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Movement Kyrg"/>
      <sheetName val="FA Movement "/>
      <sheetName val="depreciation testing"/>
      <sheetName val="GAAP TB 31.12.01  detail p&amp;l"/>
      <sheetName val="Production_Ref Q-1-3"/>
      <sheetName val="Форма2"/>
      <sheetName val="Б.мчас (П)"/>
      <sheetName val="Analytics"/>
      <sheetName val="Capex"/>
      <sheetName val="ЛСЦ начисленное на 31.12.08"/>
      <sheetName val="ЛЛизинг начис. на 31.12.08"/>
      <sheetName val="Hidden"/>
      <sheetName val="XREF"/>
      <sheetName val="Reference"/>
      <sheetName val="1"/>
      <sheetName val="Собственный капитал"/>
      <sheetName val="PP&amp;E mvt for 2003"/>
      <sheetName val="Anlagevermögen"/>
      <sheetName val="9-1"/>
      <sheetName val="4"/>
      <sheetName val="1-1"/>
      <sheetName val="GAAP TB 30.09.01  detail p&amp;l"/>
      <sheetName val="$ IS"/>
      <sheetName val="material realised"/>
      <sheetName val="breakdown"/>
      <sheetName val="FA depreciation"/>
      <sheetName val="electricity"/>
      <sheetName val="Additions testing"/>
      <sheetName val="Movement schedule"/>
      <sheetName val="ЦентрЗатр"/>
      <sheetName val="ЕдИзм"/>
      <sheetName val="Предпр"/>
      <sheetName val="Balance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250"/>
      <sheetName val="8180 (8181,8182)"/>
      <sheetName val="8140"/>
      <sheetName val="8210"/>
      <sheetName val="8030; 8221"/>
      <sheetName val="8070"/>
      <sheetName val="8200"/>
      <sheetName val="8145"/>
      <sheetName val="8113"/>
      <sheetName val="8082"/>
      <sheetName val="XREF"/>
      <sheetName val="Tickmarks"/>
      <sheetName val="Additions testing"/>
      <sheetName val="Movement schedule"/>
      <sheetName val="depreciation testing"/>
      <sheetName val="FA Movement "/>
      <sheetName val="8180 _8181_8182_"/>
      <sheetName val="Balance Sheet"/>
      <sheetName val="AHEPS"/>
      <sheetName val="OshHPP"/>
      <sheetName val="BHPP"/>
      <sheetName val="Март"/>
      <sheetName val="Сентябрь"/>
      <sheetName val="Квартал"/>
      <sheetName val="Январь"/>
      <sheetName val="Декабрь"/>
      <sheetName val="Ноябрь"/>
      <sheetName val="XLR_NoRangeSheet"/>
      <sheetName val="Апрель"/>
      <sheetName val="Июль"/>
      <sheetName val="Июнь"/>
      <sheetName val="Worksheet in (C) 8344 Administr"/>
      <sheetName val="Hidden"/>
      <sheetName val="9"/>
      <sheetName val="Summary"/>
      <sheetName val="Production Data Input"/>
      <sheetName val="GAAP TB 31.12.01  detail p&amp;l"/>
      <sheetName val="Capex"/>
      <sheetName val="LME_prices"/>
      <sheetName val="breakdown"/>
      <sheetName val="FA depreciation"/>
      <sheetName val="Форма2"/>
      <sheetName val="services.01"/>
      <sheetName val="Threshold Calc"/>
      <sheetName val="utilities.01"/>
      <sheetName val="P&amp;L"/>
      <sheetName val="Provisions"/>
      <sheetName val="Deferred tax"/>
      <sheetName val="ВСДС_1 (MAIN)"/>
      <sheetName val="Собственный капитал"/>
      <sheetName val="PP&amp;E mvt for 2003"/>
      <sheetName val="ТМЗ-6"/>
      <sheetName val="Список документов"/>
      <sheetName val="7"/>
      <sheetName val="10"/>
      <sheetName val="1"/>
      <sheetName val="ЛСЦ начисленное на 31.12.08"/>
      <sheetName val="ЛЛизинг начис. на 31.12.08"/>
      <sheetName val="Бонды стр.341"/>
      <sheetName val="material realised"/>
      <sheetName val="electricity"/>
      <sheetName val="L-1"/>
      <sheetName val="FA Movement Kyrg"/>
      <sheetName val="9-1"/>
      <sheetName val="4"/>
      <sheetName val="1-1"/>
      <sheetName val="Movement"/>
      <sheetName val="Приложение 1 KZT"/>
      <sheetName val="Курсы"/>
      <sheetName val="Target"/>
      <sheetName val="Additions_Disposals"/>
      <sheetName val="Assumptions"/>
      <sheetName val="Branches"/>
      <sheetName val="Огл. Графиков"/>
      <sheetName val="Текущие цены"/>
      <sheetName val="рабочий"/>
      <sheetName val="окраска"/>
      <sheetName val="Datasheet"/>
      <sheetName val="ЦентрЗатр"/>
      <sheetName val="Production_Ref Q-1-3"/>
      <sheetName val="ЕдИзм"/>
      <sheetName val="Предпр"/>
      <sheetName val="Drop down lists"/>
      <sheetName val="10Cash"/>
      <sheetName val="% threshhold(salary)"/>
      <sheetName val="Anlagevermög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l realised"/>
      <sheetName val="other exp."/>
      <sheetName val="Tickmarks"/>
      <sheetName val="electricity"/>
      <sheetName val="Threshold- electricity"/>
      <sheetName val="Threshold Table"/>
      <sheetName val="Repair of FA"/>
      <sheetName val="breakdown"/>
      <sheetName val="FA depreciation"/>
      <sheetName val="Additions testing"/>
      <sheetName val="Movement schedule"/>
      <sheetName val="depreciation testing"/>
      <sheetName val="FA Movement Kyrg"/>
      <sheetName val="Hidden"/>
      <sheetName val="FA Movement "/>
      <sheetName val="GAAP TB 31.12.01  detail p&amp;l"/>
      <sheetName val="LME_pric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P&amp;L"/>
      <sheetName val="Provisions"/>
      <sheetName val="9"/>
      <sheetName val="Balance Sheet"/>
      <sheetName val="Capex"/>
      <sheetName val="summary"/>
      <sheetName val="ЛСЦ начисленное на 31.12.08"/>
      <sheetName val="Mvnt"/>
      <sheetName val="Disclosure"/>
      <sheetName val="Deferred tax"/>
      <sheetName val="4"/>
      <sheetName val="1-1"/>
      <sheetName val="1"/>
      <sheetName val="СписокТЭП"/>
      <sheetName val="L-1"/>
      <sheetName val="Приложение 1 KZT"/>
      <sheetName val="ТМЗ-6"/>
      <sheetName val="Нефть"/>
      <sheetName val=""/>
      <sheetName val="Worksheet in 8242 Test of detai"/>
      <sheetName val="FAM Terra _ CB"/>
      <sheetName val="Movement"/>
      <sheetName val="FS"/>
      <sheetName val="Transformation table  2002"/>
      <sheetName val="Список документов"/>
      <sheetName val="7"/>
      <sheetName val="10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Almatytel (2)"/>
      <sheetName val="22CASH"/>
      <sheetName val="Almatytel"/>
      <sheetName val="BANK3"/>
      <sheetName val="BANK1"/>
      <sheetName val="BANK2"/>
      <sheetName val="P&amp;L"/>
      <sheetName val="Provisions"/>
      <sheetName val="breakdown"/>
      <sheetName val="FA depreciation"/>
      <sheetName val="Макро"/>
      <sheetName val="450"/>
      <sheetName val="L-1"/>
      <sheetName val="5R"/>
      <sheetName val="Additions testing"/>
      <sheetName val="Movement schedule"/>
      <sheetName val="depreciation testing"/>
      <sheetName val="GAAP TB 30.09.01  detail p&amp;l"/>
      <sheetName val="Anlagevermögen"/>
      <sheetName val="FA Movement "/>
      <sheetName val="FA(2)"/>
      <sheetName val="Cur portion of L-t loans 2006"/>
      <sheetName val="Production_Ref Q-1-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ory custody"/>
      <sheetName val="PBC"/>
      <sheetName val="Inventory custody services"/>
      <sheetName val="Tickmarks"/>
      <sheetName val="9-1"/>
      <sheetName val="4"/>
      <sheetName val="1-1"/>
      <sheetName val="1"/>
      <sheetName val="P&amp;L"/>
      <sheetName val="Provisions"/>
      <sheetName val="Production_Ref Q-1-3"/>
      <sheetName val="Anlagevermögen"/>
      <sheetName val="7"/>
      <sheetName val="10"/>
      <sheetName val="Список документов"/>
      <sheetName val="Cur portion of L-t loans 2006"/>
      <sheetName val="breakdown"/>
      <sheetName val="FA depreciation"/>
      <sheetName val="9"/>
      <sheetName val="Additions testing"/>
      <sheetName val="Movement schedule"/>
      <sheetName val="depreciation testing"/>
      <sheetName val="Movement"/>
      <sheetName val="Analytics"/>
      <sheetName val="Reference"/>
      <sheetName val="FA(2)"/>
      <sheetName val="GAAP TB 31.12.01  detail p&amp;l"/>
      <sheetName val="Hidden"/>
      <sheetName val="Deferred tax"/>
      <sheetName val="ЛСЦ начисленное на 31.12.08"/>
      <sheetName val="ЛЛизинг начис. на 31.12.08"/>
      <sheetName val="Форма2"/>
      <sheetName val="summary"/>
      <sheetName val="XREF"/>
      <sheetName val="Собственный капитал"/>
      <sheetName val="ЦентрЗатр"/>
      <sheetName val="ЕдИзм"/>
      <sheetName val="Предпр"/>
      <sheetName val="PP&amp;E mvt for 2003"/>
      <sheetName val="Movements"/>
      <sheetName val="GAAP TB 30.09.01  detail p&amp;l"/>
      <sheetName val="FA Movement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оротный"/>
      <sheetName val="Баланс"/>
      <sheetName val="Отчет о доходах и расходах"/>
      <sheetName val="Отчет о движ денег"/>
      <sheetName val="Собственный капитал"/>
      <sheetName val="Деньги"/>
      <sheetName val="Торговая дебит задол"/>
      <sheetName val="ТМЗ"/>
      <sheetName val="Прочие ТА"/>
      <sheetName val="ОС"/>
      <sheetName val="Нематер активы"/>
      <sheetName val="Дочерние организации"/>
      <sheetName val="Ассоц организации"/>
      <sheetName val="Инв-ии для продажи"/>
      <sheetName val="Прочие долгосрочные активы"/>
      <sheetName val="ТКЗ"/>
      <sheetName val="Прочие налоги"/>
      <sheetName val="Проч тек обязательства"/>
      <sheetName val="Займы"/>
      <sheetName val="Вознагр работникам"/>
      <sheetName val="Подоходн налог"/>
      <sheetName val="Собств кап"/>
      <sheetName val="Прочие доходы"/>
      <sheetName val="Материалы и услуги"/>
      <sheetName val="Затр по расч с персоналом"/>
      <sheetName val="Налоги помимо КПН "/>
      <sheetName val="Проч опер расходы"/>
      <sheetName val="Расх на фин-ие"/>
      <sheetName val="Фин и усл обяз-ва"/>
      <sheetName val="Фин инс-ты и риски"/>
      <sheetName val="Сделки со связанными сторонами"/>
      <sheetName val="Tickmarks"/>
      <sheetName val="д.7.001"/>
      <sheetName val="9-1"/>
      <sheetName val="4"/>
      <sheetName val="1-1"/>
      <sheetName val="1"/>
      <sheetName val="Capex"/>
      <sheetName val="2.2 ОтклОТМ"/>
      <sheetName val="1.3.2 ОТМ"/>
      <sheetName val="Предпр"/>
      <sheetName val="ЦентрЗатр"/>
      <sheetName val="ЕдИзм"/>
      <sheetName val="2216"/>
      <sheetName val="3-3"/>
      <sheetName val="Movement"/>
      <sheetName val="Datasheet"/>
      <sheetName val="breakdown"/>
      <sheetName val="FA depreciation"/>
      <sheetName val="P&amp;L"/>
      <sheetName val="Provisions"/>
      <sheetName val="Форма2"/>
      <sheetName val="Hidden"/>
      <sheetName val="Disclosure"/>
      <sheetName val="Cur portion of L-t loans 2006"/>
      <sheetName val="Dictionaries"/>
      <sheetName val="9"/>
      <sheetName val="7"/>
      <sheetName val="10"/>
      <sheetName val="Список документов"/>
      <sheetName val="PP&amp;E mvt for 2003"/>
      <sheetName val="Movements"/>
      <sheetName val="FA Movement "/>
      <sheetName val="Additions testing"/>
      <sheetName val="Movement schedule"/>
      <sheetName val="depreciation testing"/>
      <sheetName val="Приложение 1 KZT"/>
      <sheetName val="GAAP TB 31.12.01  detail p&amp;l"/>
      <sheetName val="FA Movement Kyrg"/>
      <sheetName val="Anlagevermögen"/>
      <sheetName val="Production_Ref Q-1-3"/>
      <sheetName val="1N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Worksheet in 5650 PP&amp;E movement"/>
      <sheetName val="Форма2"/>
      <sheetName val="FA register"/>
      <sheetName val="Собственный капитал"/>
      <sheetName val="L-1"/>
      <sheetName val="2.2 ОтклОТМ"/>
      <sheetName val="1.3.2 ОТМ"/>
      <sheetName val="Предпр"/>
      <sheetName val="ЦентрЗатр"/>
      <sheetName val="ЕдИзм"/>
      <sheetName val="Ôîðìà2"/>
      <sheetName val="Ñîáñòâåííûé êàïèòàë"/>
      <sheetName val="Royalty"/>
      <sheetName val="Данные"/>
      <sheetName val="Transportation Services"/>
      <sheetName val="Summary"/>
      <sheetName val="Workover service"/>
      <sheetName val="Utilities Expense"/>
      <sheetName val="Test of FA Installation"/>
      <sheetName val="Additions"/>
      <sheetName val="14.1.2.2.(Услуги связи)"/>
      <sheetName val="7.1"/>
      <sheetName val="Def"/>
      <sheetName val="- 1 -"/>
      <sheetName val="ставки"/>
      <sheetName val="Inventory Count Sheet"/>
      <sheetName val="VLOOKUP"/>
      <sheetName val="INPUTMASTER"/>
      <sheetName val="Book Adjustments"/>
      <sheetName val="TB"/>
      <sheetName val="00"/>
      <sheetName val="Kas FA Movement"/>
      <sheetName val="InputTD"/>
      <sheetName val="Depr"/>
      <sheetName val="2_Loans to customers"/>
      <sheetName val="Financial ratios А3"/>
      <sheetName val="July_03_Pg8"/>
      <sheetName val="9"/>
      <sheetName val="Movements"/>
      <sheetName val="Movement"/>
      <sheetName val="P&amp;L"/>
      <sheetName val="Provisions"/>
      <sheetName val="9-1"/>
      <sheetName val="4"/>
      <sheetName val="1-1"/>
      <sheetName val="1"/>
      <sheetName val="Datasheet"/>
      <sheetName val="Содержание"/>
      <sheetName val="Capex"/>
      <sheetName val="Anlagevermögen"/>
      <sheetName val="Deferred tax"/>
      <sheetName val="Hidden"/>
      <sheetName val="Notes IS"/>
      <sheetName val="C 25"/>
      <sheetName val="2005 Social"/>
      <sheetName val="Data-in"/>
      <sheetName val="Info"/>
      <sheetName val="FA Movement Kyrg"/>
      <sheetName val="ЛСЦ начисленное на 31.12.08"/>
      <sheetName val="ЛЛизинг начис. на 31.12.08"/>
      <sheetName val="Production_Ref Q-1-3"/>
      <sheetName val="GAAP TB 31.12.01  detail p&amp;l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консолид Нурсат"/>
      <sheetName val="breakdown"/>
      <sheetName val="FA depreciation"/>
      <sheetName val="$ IS"/>
      <sheetName val="Cur portion of L-t loans 2006"/>
      <sheetName val="IS"/>
      <sheetName val="General Assumptions"/>
      <sheetName val="MODEL500"/>
      <sheetName val="TB-KZT"/>
      <sheetName val="TB USD"/>
      <sheetName val="1НК_объемы"/>
      <sheetName val="Control"/>
      <sheetName val="Interco payables&amp;receivables"/>
      <sheetName val=""/>
      <sheetName val="BS"/>
      <sheetName val="Intercompany transactions"/>
      <sheetName val="Dept"/>
      <sheetName val="1N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расчет"/>
      <sheetName val="ФОТ и соц.налог "/>
      <sheetName val="амортизация"/>
      <sheetName val="ээ"/>
      <sheetName val="свод по материал"/>
      <sheetName val="р№1"/>
      <sheetName val="№2"/>
      <sheetName val="Услуги банков"/>
      <sheetName val="налог"/>
      <sheetName val="ЦХЛ 2004"/>
      <sheetName val="FES"/>
      <sheetName val="СВОДНАЯ ГРУПП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old Calc"/>
      <sheetName val="Loans disclosure"/>
      <sheetName val="Movements"/>
      <sheetName val="% capitalization"/>
      <sheetName val="Cur portion of L-t loans calc"/>
      <sheetName val="Loans description"/>
      <sheetName val="Related parties"/>
      <sheetName val="Loan FX calc"/>
      <sheetName val="Sheet2"/>
      <sheetName val="Principal repayments test"/>
      <sheetName val="Principal withdrawals test"/>
      <sheetName val="Cash deposits &amp; cash curr acc's"/>
      <sheetName val="Bond withdrawals test"/>
      <sheetName val="Interest accruals"/>
      <sheetName val="Interest payable test"/>
      <sheetName val="Expected vs Actual"/>
      <sheetName val="Threshold Calc (2)"/>
      <sheetName val="Expected vs Actual (2)"/>
      <sheetName val="Transformation table"/>
      <sheetName val="Tickmarks"/>
      <sheetName val="Loans"/>
      <sheetName val="Movement"/>
      <sheetName val="Interest expense test"/>
      <sheetName val="Calculation of effective rate"/>
      <sheetName val="Calc amort discount expense"/>
      <sheetName val="Fair value"/>
      <sheetName val="Principal repayment test"/>
      <sheetName val="Expected vs Actual (3)"/>
      <sheetName val="Expected vs Actual (4)"/>
      <sheetName val="JBIC"/>
      <sheetName val="Spain"/>
      <sheetName val="54 units"/>
      <sheetName val="200 units"/>
      <sheetName val="Collaterals on loans"/>
      <sheetName val="XREF"/>
      <sheetName val="CMA testing"/>
      <sheetName val="ABN AMRO"/>
      <sheetName val="Movement (2)"/>
      <sheetName val="Collaterals on loans (2)"/>
      <sheetName val="Ex rates"/>
      <sheetName val="Собственный капитал"/>
      <sheetName val="PP&amp;E mvt for 2003"/>
      <sheetName val="Ñîáñòâåííûé êàïèòàë"/>
      <sheetName val="Capex"/>
      <sheetName val="Disclosure"/>
      <sheetName val="9-1"/>
      <sheetName val="4"/>
      <sheetName val="1-1"/>
      <sheetName val="1"/>
      <sheetName val="P&amp;L"/>
      <sheetName val="Provisions"/>
      <sheetName val="7"/>
      <sheetName val="10"/>
      <sheetName val="TOD of payments and receipts"/>
      <sheetName val="Interest recalculation"/>
      <sheetName val="Форма2"/>
      <sheetName val="из сем"/>
      <sheetName val="breakdown"/>
      <sheetName val="FA depreciation"/>
      <sheetName val="Datasheet"/>
      <sheetName val="Hidden"/>
      <sheetName val="Форма1"/>
      <sheetName val="Cur portion of L-t loans 2006"/>
      <sheetName val="Balance Sheet"/>
      <sheetName val="FA(2)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eshold Table"/>
      <sheetName val="Data Sheet"/>
      <sheetName val="Tickmarks"/>
      <sheetName val="Module1"/>
      <sheetName val="Determination of Threshold"/>
      <sheetName val="Analysis"/>
      <sheetName val="Datasheet"/>
      <sheetName val="Movements"/>
      <sheetName val="Anlagevermögen"/>
      <sheetName val="Собственный капитал"/>
      <sheetName val="9-1"/>
      <sheetName val="4"/>
      <sheetName val="1-1"/>
      <sheetName val="1"/>
      <sheetName val="SMSTemp"/>
      <sheetName val="Dictionaries"/>
      <sheetName val="Securities"/>
      <sheetName val="std tabel"/>
      <sheetName val="P&amp;L"/>
      <sheetName val="Provisions"/>
      <sheetName val="PP&amp;E mvt for 2003"/>
      <sheetName val="Форма2"/>
      <sheetName val="breakdown"/>
      <sheetName val="FA depreciation"/>
      <sheetName val="Sheet1"/>
      <sheetName val="ВСДС_1 (MAIN)"/>
      <sheetName val="Hidden"/>
      <sheetName val="Б.мчас (П)"/>
      <sheetName val="summary"/>
      <sheetName val="XREF"/>
      <sheetName val="CMA Calculations- R Factor"/>
      <sheetName val="CMA Calculations- Figure 5440.1"/>
      <sheetName val="д.7.001"/>
      <sheetName val="ЦентрЗатр"/>
      <sheetName val="Disclosure"/>
      <sheetName val="FA Movement Kyrg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, Margins &amp; Inventory"/>
      <sheetName val="Income Analysis"/>
      <sheetName val="Bal Sheet"/>
      <sheetName val="Volumes"/>
      <sheetName val="Prepayments"/>
      <sheetName val="AR Analysis"/>
      <sheetName val="Advances Received"/>
      <sheetName val="Accounts payable"/>
      <sheetName val="Refining"/>
      <sheetName val="G&amp;A Analysis"/>
      <sheetName val="Selling Exp"/>
      <sheetName val=" GAAP Summary"/>
      <sheetName val="GAAP TB 31.12.01  detail p&amp;l"/>
      <sheetName val="Balance Sheet"/>
      <sheetName val="Datasheet"/>
      <sheetName val="9-1"/>
      <sheetName val="4"/>
      <sheetName val="1-1"/>
      <sheetName val="1"/>
      <sheetName val="Hidden"/>
      <sheetName val="ВСДС_1 (MAIN)"/>
      <sheetName val="calc"/>
      <sheetName val="Movements"/>
      <sheetName val="depreciation testing"/>
      <sheetName val="Собственный капитал"/>
      <sheetName val="PP&amp;E mvt for 2003"/>
      <sheetName val="P&amp;L"/>
      <sheetName val="Provisions"/>
      <sheetName val="3rd parties Sales"/>
      <sheetName val="summary"/>
      <sheetName val="ТМЗ-6"/>
      <sheetName val="Б.мчас (П)"/>
      <sheetName val="Форма2"/>
      <sheetName val="Movement"/>
      <sheetName val="Mvnt"/>
      <sheetName val="XREF"/>
      <sheetName val="Disclosure"/>
      <sheetName val="Курсы"/>
      <sheetName val="Титу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rade receivables 1401"/>
      <sheetName val="1530"/>
      <sheetName val="1531"/>
      <sheetName val="1570"/>
      <sheetName val="1450"/>
      <sheetName val="XREF"/>
      <sheetName val="Tickmark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Cust acc 2003"/>
      <sheetName val="Март"/>
      <sheetName val="Сентябрь"/>
      <sheetName val="Квартал"/>
      <sheetName val="Январь"/>
      <sheetName val="Декабрь"/>
      <sheetName val="Ноябрь"/>
      <sheetName val="2006 2Day Tel"/>
      <sheetName val="Бонды стр.341"/>
      <sheetName val="Hidden"/>
      <sheetName val="Head Count Planning"/>
      <sheetName val="ТМЗ-6"/>
      <sheetName val="Datasheet"/>
      <sheetName val="Movements"/>
      <sheetName val="Mvnt"/>
      <sheetName val="Disclosure"/>
      <sheetName val="Movement"/>
      <sheetName val="Апрель"/>
      <sheetName val="Июль"/>
      <sheetName val="Июнь"/>
      <sheetName val="DD Reserve calculation"/>
      <sheetName val="ВСДС_1 (MAIN)"/>
      <sheetName val="Форма2"/>
      <sheetName val="Форма1"/>
      <sheetName val="Additions testing"/>
      <sheetName val="Movement schedule"/>
      <sheetName val="depreciation testing"/>
      <sheetName val="Б.мчас (П)"/>
      <sheetName val="7"/>
      <sheetName val="10"/>
      <sheetName val="1"/>
      <sheetName val="Список документов"/>
      <sheetName val="База"/>
      <sheetName val="AHEPS"/>
      <sheetName val="OshHPP"/>
      <sheetName val="BHPP"/>
      <sheetName val="Analytics"/>
      <sheetName val="PP&amp;E mvt for 2003"/>
      <sheetName val="Собственный капитал"/>
      <sheetName val="9-1"/>
      <sheetName val="4"/>
      <sheetName val="1-1"/>
      <sheetName val="Макро"/>
      <sheetName val="calc"/>
      <sheetName val="FA movement shedule"/>
      <sheetName val="GAAP TB 31.12.01  detail p&amp;l"/>
      <sheetName val="P&amp;L"/>
      <sheetName val="Provisions"/>
      <sheetName val="breakdown"/>
      <sheetName val="ATI"/>
      <sheetName val="Target"/>
      <sheetName val="Basic Info"/>
      <sheetName val="FA Movement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GOC - Global"/>
      <sheetName val="Ispol. Dir."/>
      <sheetName val="CDU"/>
      <sheetName val="Sever MES"/>
      <sheetName val="Akmola MES"/>
      <sheetName val="Center MES"/>
      <sheetName val="Sarbai MES"/>
      <sheetName val="Shymkent MES"/>
      <sheetName val="Zapad MES"/>
      <sheetName val="Astana"/>
      <sheetName val="Almaty MES"/>
      <sheetName val="Aktyube MES"/>
      <sheetName val="Vostok MES"/>
      <sheetName val="XREF"/>
      <sheetName val="Tickmarks"/>
      <sheetName val="summary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trade receivables 1401"/>
      <sheetName val="1530"/>
      <sheetName val="1450"/>
      <sheetName val="1531"/>
      <sheetName val="Movements"/>
      <sheetName val="Balance Sheet"/>
      <sheetName val="Собственный капитал"/>
      <sheetName val="Mvnt"/>
      <sheetName val="Disclosure"/>
      <sheetName val="Бонды стр.341"/>
      <sheetName val="Datasheet"/>
      <sheetName val="ТМЗ-6"/>
      <sheetName val="Hidden"/>
      <sheetName val="Movement"/>
      <sheetName val="PP&amp;E mvt for 2003"/>
      <sheetName val="Форма2"/>
      <sheetName val="4"/>
      <sheetName val="1-1"/>
      <sheetName val="1"/>
      <sheetName val="Б.мчас (П)"/>
      <sheetName val="7"/>
      <sheetName val="10"/>
      <sheetName val="Список документов"/>
      <sheetName val="ВСДС_1 (MAIN)"/>
      <sheetName val="GAAP TB 30.09.01  detail p&amp;l"/>
      <sheetName val="rollforward"/>
      <sheetName val="GAAP TB 31.12.01  detail p&amp;l"/>
      <sheetName val="FA Movement "/>
      <sheetName val="depreciation testing"/>
      <sheetName val="breakdown"/>
      <sheetName val="FA depreciation"/>
      <sheetName val="9-1"/>
      <sheetName val="P&amp;L"/>
      <sheetName val="Provisions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Movement "/>
      <sheetName val="Breakdowns "/>
      <sheetName val="Dep-ion"/>
      <sheetName val="depreciation testing"/>
      <sheetName val="XREF"/>
      <sheetName val="Tickmarks"/>
      <sheetName val="M-100"/>
      <sheetName val="summary"/>
      <sheetName val="GAAP TB 31.12.01  detail p&amp;l"/>
      <sheetName val="FS"/>
      <sheetName val="Transformation table  2002"/>
      <sheetName val="Hidden"/>
      <sheetName val="10Cash"/>
      <sheetName val="GH_612"/>
      <sheetName val="Venit for cross reff"/>
      <sheetName val="GH_621"/>
      <sheetName val="GH_622"/>
      <sheetName val="Ter_612"/>
      <sheetName val="Ter_621"/>
      <sheetName val="Ter_622"/>
      <sheetName val="Ter_611"/>
      <sheetName val="AS_622"/>
      <sheetName val="GB_611"/>
      <sheetName val="GB_612"/>
      <sheetName val="GB_622"/>
      <sheetName val="GH_611"/>
      <sheetName val="B 1"/>
      <sheetName val="A 100"/>
      <sheetName val="% threshhold(salary)"/>
      <sheetName val="Breakdown of guarantees"/>
      <sheetName val="Статьи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Movements"/>
      <sheetName val="ТМЗ-6"/>
      <sheetName val="Capex"/>
      <sheetName val="Balance Sheet"/>
      <sheetName val="П_макросы"/>
      <sheetName val="База"/>
      <sheetName val="material realised"/>
      <sheetName val="breakdown"/>
      <sheetName val="FA depreciation"/>
      <sheetName val="electricity"/>
      <sheetName val="Mvnt"/>
      <sheetName val="Disclosure"/>
      <sheetName val="FA Movement Kyrg"/>
      <sheetName val="Форма2"/>
      <sheetName val="Форма1"/>
      <sheetName val="4"/>
      <sheetName val="1-1"/>
      <sheetName val="1"/>
      <sheetName val="Собственный капитал"/>
      <sheetName val="PP&amp;E mvt for 2003"/>
      <sheetName val="Б.мчас (П)"/>
      <sheetName val="Rollforward"/>
      <sheetName val="Intercompany transactions"/>
      <sheetName val="Бонды стр.341"/>
      <sheetName val="Additions testing"/>
      <sheetName val="Movement schedule"/>
      <sheetName val="Datasheet"/>
      <sheetName val=""/>
      <sheetName val="P&amp;L"/>
      <sheetName val="Provisions"/>
      <sheetName val="9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XREF"/>
      <sheetName val="Movements"/>
      <sheetName val="Б.мчас (П)"/>
      <sheetName val="ЯНВАРЬ"/>
      <sheetName val="АПК реформа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из сем"/>
      <sheetName val="свод"/>
      <sheetName val="calc"/>
      <sheetName val="PP&amp;E mvt for 2003"/>
      <sheetName val="2008 ГСМ"/>
      <sheetName val="Плата за загрязнение "/>
      <sheetName val="Типограф"/>
      <sheetName val="IS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поставка сравн13"/>
      <sheetName val="summary"/>
      <sheetName val="канц"/>
      <sheetName val="Datasheet"/>
      <sheetName val="1 вариант  2009 "/>
      <sheetName val="Список документов"/>
      <sheetName val="GAAP TB 30.09.01  detail p&amp;l"/>
      <sheetName val="Лист2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факс(2005-20гг.)"/>
      <sheetName val="Макро"/>
      <sheetName val="Содержание"/>
      <sheetName val="Собственный капитал"/>
      <sheetName val="Гр5(о)"/>
      <sheetName val="$ IS"/>
      <sheetName val="7"/>
      <sheetName val="10"/>
      <sheetName val="1"/>
      <sheetName val="ЕдИзм"/>
      <sheetName val="Предпр"/>
      <sheetName val="УПРАВЛЕНИЕ11"/>
      <sheetName val="Disclosure"/>
      <sheetName val="Budget"/>
      <sheetName val="2.2 ОтклОТМ"/>
      <sheetName val="1.3.2 ОТМ"/>
      <sheetName val="Cost 99v98"/>
      <sheetName val="cant sim"/>
      <sheetName val="PYTB"/>
      <sheetName val="XLR_NoRangeSheet"/>
      <sheetName val="фот пп2000разбивка"/>
      <sheetName val="I. Прогноз доходов"/>
      <sheetName val="Production_Ref Q-1-3"/>
      <sheetName val="1NK"/>
      <sheetName val="Financial ratios А3"/>
      <sheetName val="2_2 ОтклОТМ"/>
      <sheetName val="1_3_2 ОТМ"/>
      <sheetName val="U2 775 - COGS comparison per su"/>
      <sheetName val="ЗАО_н.ит"/>
      <sheetName val="#ССЫЛКА"/>
      <sheetName val="ЗАО_мес"/>
      <sheetName val="Production_ref_Q4"/>
      <sheetName val="Sales-COS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SMSTemp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Служебный ФКРБ"/>
      <sheetName val="Источник финансирования"/>
      <sheetName val="Способ закупки"/>
      <sheetName val="Тип пункта плана"/>
      <sheetName val="ОборБалФормОтч"/>
      <sheetName val="ТитулЛистОтч"/>
      <sheetName val="Graph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4"/>
      <sheetName val="Movement"/>
      <sheetName val="прил№10"/>
      <sheetName val="1 (2)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Бюджет тек. затрат"/>
      <sheetName val="Cashflow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Спр. раб.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FA Movement "/>
      <sheetName val="depreciation testing"/>
      <sheetName val="доп.дан."/>
      <sheetName val="K-800 Imp. test"/>
      <sheetName val="FA register"/>
      <sheetName val="коммун."/>
      <sheetName val="Loaded"/>
      <sheetName val="ТД РАП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Input_Assumptions"/>
      <sheetName val="Служебный ФК_x0005__x0000_"/>
      <sheetName val="Securities"/>
      <sheetName val="ГМ "/>
      <sheetName val="Технический"/>
      <sheetName val="6НК簀⽕쐀⽕"/>
      <sheetName val="6НКԯ_x0000_缀_x0000_"/>
      <sheetName val="Служебный ФК_x0000__x0000_"/>
      <sheetName val="6НК_x0007__x001c_ _x000d_"/>
      <sheetName val="_x0000__x000e__x0000__x000a__x0000__x0008__x0000__x000a__x0000__x000b__x0000__x0010__x0000__x0007_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из_сем4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2_2_ОтклОТМ2"/>
      <sheetName val="1_3_2_ОТМ2"/>
      <sheetName val="Cost_99v981"/>
      <sheetName val="cant_sim1"/>
      <sheetName val="Production_Ref_Q-1-31"/>
      <sheetName val="фот_пп2000разбивка1"/>
      <sheetName val="ЗАО_н_ит1"/>
      <sheetName val="Financial_ratios_А31"/>
      <sheetName val="2_2_ОтклОТМ3"/>
      <sheetName val="1_3_2_ОТМ3"/>
      <sheetName val="U2_775_-_COGS_comparison_per_s1"/>
      <sheetName val="I__Прогноз_доходов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Собственный_капитал1"/>
      <sheetName val="K-800_Imp__test1"/>
      <sheetName val="FA_register1"/>
      <sheetName val="US_Dollar_20034"/>
      <sheetName val="SDR_20034"/>
      <sheetName val="Control_Settings1"/>
      <sheetName val="GTM_BK1"/>
      <sheetName val="Consolidator_Inputs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FA_Movement_Kyrg"/>
      <sheetName val="SA_Procedures"/>
      <sheetName val="ввод-вывод_ОС_авг2004-_2005"/>
      <sheetName val="Служебный_ФК"/>
      <sheetName val="ГМ_"/>
      <sheetName val="полугодие"/>
      <sheetName val="Вып.П.П."/>
      <sheetName val="кварталы"/>
      <sheetName val="план"/>
      <sheetName val="Россия-экспорт"/>
      <sheetName val="6НК_x0007__x001c__x0009__x000d_"/>
      <sheetName val="План_произв-в_x0006__x000c__x0007__x000f__x0010__x0011__x0007__x0007_贰΢ǅ_x0000_Ā_x0000__x0000_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Служебный ФК峔("/>
      <sheetName val="Служебный ФК厈-"/>
      <sheetName val="Служебный ФК⽄"/>
      <sheetName val="Служебный ФК⽬"/>
      <sheetName val="Служебный ФК嵔 "/>
      <sheetName val="Служебный ФК_xdd90__x0012_"/>
      <sheetName val="Служебный ФК『"/>
      <sheetName val="FA_Movement_"/>
      <sheetName val="depreciation_testing"/>
      <sheetName val="доп_дан_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쀀Ø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6НК/_x0000__xd800_¹"/>
      <sheetName val="Исх"/>
      <sheetName val="КР з.ч"/>
      <sheetName val="breakdown"/>
      <sheetName val="FA depreciation"/>
      <sheetName val="Конс "/>
      <sheetName val="исп.см."/>
      <sheetName val="L&amp;E"/>
      <sheetName val="Cash flows - PB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Форма2"/>
      <sheetName val="XREF"/>
      <sheetName val="поставка сравн13"/>
      <sheetName val="DWR_PRG"/>
      <sheetName val="FS-97"/>
      <sheetName val="МО 0012"/>
      <sheetName val="СписокТЭП"/>
      <sheetName val="A4.100"/>
      <sheetName val="авансы выданные-1"/>
      <sheetName val="Деб-1"/>
      <sheetName val="#REF"/>
      <sheetName val="yO302.1"/>
      <sheetName val="ввод-вывод ОС авг2004- 2005"/>
      <sheetName val="L-1"/>
      <sheetName val="ОТЧЕТ КТЖ 01.01.09"/>
      <sheetName val="Б.мчас (П)"/>
      <sheetName val="Нефть"/>
      <sheetName val="Форма1"/>
      <sheetName val="P&amp;L"/>
      <sheetName val="Provisions"/>
      <sheetName val="Movements"/>
      <sheetName val="summary"/>
      <sheetName val="сброс"/>
      <sheetName val="2.1.11консул _ инф"/>
      <sheetName val="breakdown"/>
      <sheetName val="FA depreciation"/>
      <sheetName val="FES"/>
      <sheetName val="Макро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д.7.001"/>
      <sheetName val="ТМЗ-6"/>
      <sheetName val="ЯНВАРЬ"/>
      <sheetName val="Datasheet"/>
      <sheetName val="#ССЫЛКА"/>
      <sheetName val="Balance Sheet"/>
      <sheetName val="ОТиТБ"/>
      <sheetName val="PP&amp;E mvt for 2003"/>
      <sheetName val="I. Прогноз доходов"/>
      <sheetName val="Лист2"/>
      <sheetName val="Anlagevermög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ЕдИзм"/>
      <sheetName val="Предпр"/>
      <sheetName val="PP&amp;E mvt for 2003"/>
      <sheetName val="Capex"/>
      <sheetName val="Собственный капитал"/>
      <sheetName val="Б.мчас (П)"/>
      <sheetName val="из сем"/>
      <sheetName val="Instructions"/>
      <sheetName val="US Dollar 2003"/>
      <sheetName val="SDR 2003"/>
      <sheetName val="1NK"/>
      <sheetName val="Captions"/>
      <sheetName val="form"/>
      <sheetName val="Info"/>
      <sheetName val="#ССЫЛКА"/>
      <sheetName val="Пр2"/>
      <sheetName val="Anlagevermögen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Добыча нефти4"/>
      <sheetName val="поставка сравн13"/>
      <sheetName val="Budget"/>
      <sheetName val="2.2 ОтклОТМ"/>
      <sheetName val="1.3.2 ОТ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Налоги"/>
      <sheetName val="calc"/>
      <sheetName val="Graph"/>
      <sheetName val="ввод-вывод ОС авг2004- 2005"/>
      <sheetName val="Kolommen_balans"/>
      <sheetName val="SA Procedures"/>
      <sheetName val="Пр 41"/>
      <sheetName val="5R"/>
      <sheetName val="Production_ref_Q4"/>
      <sheetName val="Sales-COS"/>
      <sheetName val="U2 775 - COGS comparison per su"/>
      <sheetName val="Analytics"/>
      <sheetName val="FA Movement Kyrg"/>
      <sheetName val="Reference"/>
      <sheetName val="Список документов"/>
      <sheetName val="перевозки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д.7.001"/>
      <sheetName val="-расчет налогов от ФОТ  на 2014"/>
      <sheetName val="Pbs_Wbs_ATC"/>
      <sheetName val="Non-Statistical Sampling Master"/>
      <sheetName val="Global Data"/>
      <sheetName val="SMSTemp"/>
      <sheetName val="GAAP TB 30.09.01  detail p&amp;l"/>
      <sheetName val="FA Movement "/>
      <sheetName val="depreciation testing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канц"/>
      <sheetName val="Datasheet"/>
      <sheetName val="1 вариант  2009 "/>
      <sheetName val="ОборБалФормОтч"/>
      <sheetName val="ТитулЛистОтч"/>
      <sheetName val="Форма3.6"/>
      <sheetName val="$ IS"/>
      <sheetName val="7"/>
      <sheetName val="10"/>
      <sheetName val="ОТиТБ"/>
      <sheetName val="misc"/>
      <sheetName val="Макро"/>
      <sheetName val="Лист2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факс(2005-20гг.)"/>
      <sheetName val="Содержание"/>
      <sheetName val="Гр5(о)"/>
      <sheetName val="MetaData"/>
      <sheetName val="P&amp;L"/>
      <sheetName val="Provis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Преискурант"/>
      <sheetName val="7.1"/>
      <sheetName val="ЦентрЗатр"/>
      <sheetName val="из сем"/>
      <sheetName val="FES"/>
      <sheetName val="6НК-cт."/>
      <sheetName val="ЕдИзм"/>
      <sheetName val="База"/>
      <sheetName val="Hidden"/>
      <sheetName val="ОТиТБ"/>
      <sheetName val="Пр2"/>
      <sheetName val="ДС МЗК"/>
      <sheetName val="Титул1"/>
      <sheetName val="PP&amp;E mvt for 2003"/>
      <sheetName val="definitions"/>
      <sheetName val="101"/>
      <sheetName val="Sheet1"/>
      <sheetName val="ТМЗ-6"/>
      <sheetName val="данные"/>
      <sheetName val="Flash Report SDC(EUR)"/>
      <sheetName val="1BO"/>
      <sheetName val="Info"/>
      <sheetName val="Предпр"/>
      <sheetName val="form_электрон"/>
      <sheetName val="6 NK"/>
      <sheetName val="Control"/>
      <sheetName val="Собственный капитал"/>
      <sheetName val="ОТЧЕТ КТЖ 01.01.09"/>
      <sheetName val="XREF"/>
      <sheetName val="Б.мчас (П)"/>
      <sheetName val="Movements"/>
      <sheetName val="СписокТЭП"/>
      <sheetName val="L-1"/>
    </sheetNames>
    <sheetDataSet>
      <sheetData sheetId="0" refreshError="1"/>
      <sheetData sheetId="1" refreshError="1">
        <row r="22">
          <cell r="C22">
            <v>0</v>
          </cell>
        </row>
      </sheetData>
      <sheetData sheetId="2" refreshError="1">
        <row r="22">
          <cell r="C22">
            <v>0</v>
          </cell>
        </row>
        <row r="56">
          <cell r="C56">
            <v>0</v>
          </cell>
        </row>
        <row r="61">
          <cell r="C61">
            <v>0</v>
          </cell>
        </row>
        <row r="75">
          <cell r="C75">
            <v>0</v>
          </cell>
        </row>
        <row r="76">
          <cell r="C76">
            <v>0</v>
          </cell>
        </row>
        <row r="77">
          <cell r="C77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0</v>
          </cell>
        </row>
        <row r="82">
          <cell r="C82">
            <v>0</v>
          </cell>
        </row>
        <row r="84">
          <cell r="C84">
            <v>0</v>
          </cell>
        </row>
        <row r="85">
          <cell r="C85">
            <v>0</v>
          </cell>
        </row>
        <row r="86">
          <cell r="C86">
            <v>0</v>
          </cell>
        </row>
        <row r="88">
          <cell r="C88">
            <v>0</v>
          </cell>
        </row>
        <row r="89">
          <cell r="C89">
            <v>0</v>
          </cell>
        </row>
        <row r="92">
          <cell r="C92">
            <v>0</v>
          </cell>
        </row>
        <row r="93">
          <cell r="C93">
            <v>0</v>
          </cell>
        </row>
        <row r="94">
          <cell r="C94">
            <v>0</v>
          </cell>
        </row>
        <row r="95">
          <cell r="C95">
            <v>0</v>
          </cell>
        </row>
        <row r="97">
          <cell r="C97">
            <v>0</v>
          </cell>
        </row>
        <row r="98">
          <cell r="C98">
            <v>0</v>
          </cell>
        </row>
        <row r="99">
          <cell r="C99">
            <v>0</v>
          </cell>
        </row>
        <row r="100">
          <cell r="C100">
            <v>0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0</v>
          </cell>
        </row>
        <row r="106">
          <cell r="C106">
            <v>0</v>
          </cell>
        </row>
        <row r="107">
          <cell r="C107">
            <v>0</v>
          </cell>
        </row>
        <row r="113">
          <cell r="C113">
            <v>0</v>
          </cell>
        </row>
        <row r="114">
          <cell r="C114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ЦХЛ 2004"/>
      <sheetName val="_FES"/>
      <sheetName val="2210900-Aug"/>
      <sheetName val="прочие поступлен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12НК"/>
      <sheetName val="Преискурант"/>
      <sheetName val="Hidden"/>
      <sheetName val="из сем"/>
      <sheetName val="Б.мчас (П)"/>
      <sheetName val="д.7.001"/>
      <sheetName val="list"/>
      <sheetName val="Пр2"/>
      <sheetName val="Плата за загрязнение "/>
      <sheetName val="Типограф"/>
      <sheetName val="2008 ГСМ"/>
      <sheetName val="FES"/>
      <sheetName val="Спр_ пласт"/>
      <sheetName val="Спр_ мест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производство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ДС МЗ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Форма1"/>
      <sheetName val="ОТиТБ"/>
      <sheetName val="факт 2005 г."/>
      <sheetName val="3310"/>
      <sheetName val="Дт-Кт"/>
      <sheetName val="PP&amp;E mvt for 2003"/>
      <sheetName val="7.1"/>
      <sheetName val="Hidden"/>
      <sheetName val="д.7.001"/>
      <sheetName val="из сем"/>
      <sheetName val="База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ДС МЗК"/>
      <sheetName val="Собственный капитал"/>
      <sheetName val="7"/>
      <sheetName val="10"/>
      <sheetName val="d_pok"/>
      <sheetName val="13,40 Авансы_получ"/>
      <sheetName val="июль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производство"/>
      <sheetName val="Титул1"/>
      <sheetName val="ЯНВАРЬ"/>
      <sheetName val="матер"/>
      <sheetName val="Read me first"/>
      <sheetName val="#ССЫЛКА"/>
      <sheetName val="ЦентрЗатр"/>
      <sheetName val="ЕдИзм"/>
      <sheetName val="Пред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Форма1"/>
      <sheetName val="Financial ratios А3"/>
      <sheetName val="группа"/>
      <sheetName val="Пр2"/>
      <sheetName val="факт 2005 г."/>
      <sheetName val="balans 3"/>
      <sheetName val="З"/>
      <sheetName val="Ден потоки"/>
      <sheetName val="00"/>
      <sheetName val="Лист1"/>
      <sheetName val="1.411.1"/>
      <sheetName val="ОТиТБ"/>
      <sheetName val="Hidden"/>
      <sheetName val="Haul cons"/>
      <sheetName val="Распределение прибыли"/>
      <sheetName val="ДС МЗК"/>
      <sheetName val="Текущие цены"/>
      <sheetName val="рабочий"/>
      <sheetName val="окраска"/>
      <sheetName val="расчет прибыли"/>
      <sheetName val="амортиз_ввод"/>
      <sheetName val="НДС"/>
      <sheetName val="ГПЗ_ПОСД_Способ закупок"/>
      <sheetName val="Лист3"/>
      <sheetName val="пр 6 дох"/>
      <sheetName val="Расчет2000Прямой"/>
      <sheetName val="топливо"/>
      <sheetName val="Потребители"/>
      <sheetName val="ОборБалФормОтч"/>
      <sheetName val="Осн"/>
      <sheetName val="План закупок"/>
      <sheetName val="Командировочные расходы"/>
      <sheetName val="Ввод"/>
      <sheetName val="12 из 57 АЗС"/>
      <sheetName val="МО 0012"/>
      <sheetName val="  2.3.2"/>
      <sheetName val="точн2"/>
      <sheetName val="0. Данные"/>
      <sheetName val="name"/>
      <sheetName val="MS"/>
      <sheetName val="цены"/>
      <sheetName val="справка"/>
      <sheetName val="аренда цс"/>
      <sheetName val="KTG_m"/>
      <sheetName val="СПгнг"/>
      <sheetName val="мат расходы"/>
      <sheetName val="Налоги на транспорт"/>
      <sheetName val="6 NK"/>
      <sheetName val="ремонт 25"/>
      <sheetName val="ОХР"/>
      <sheetName val="Info"/>
      <sheetName val="всп"/>
      <sheetName val="ДБСП_02_ 2002"/>
      <sheetName val="свод2010г по гр."/>
      <sheetName val="по 2007 году план на 2008 год"/>
      <sheetName val="Sheet1"/>
      <sheetName val="#ССЫЛКА"/>
      <sheetName val="Январь"/>
      <sheetName val="Movements"/>
      <sheetName val="UNITPRICES"/>
      <sheetName val="Счет-ф"/>
      <sheetName val="Sheet3"/>
      <sheetName val="Sheet4"/>
      <sheetName val="1БО"/>
      <sheetName val="EVA"/>
      <sheetName val="коэфф"/>
      <sheetName val="2БК"/>
      <sheetName val="3БО"/>
      <sheetName val="Свод"/>
      <sheetName val="Исход"/>
      <sheetName val="3БК"/>
      <sheetName val="5П"/>
      <sheetName val="4П"/>
      <sheetName val="WACC"/>
      <sheetName val="д.7.001"/>
      <sheetName val="3БК Инвестиции"/>
      <sheetName val="янв"/>
      <sheetName val="Сдача "/>
      <sheetName val="Статьи затрат"/>
      <sheetName val="14.1.2.2.(Услуги связи)"/>
      <sheetName val="Ф3"/>
      <sheetName val="Income $"/>
      <sheetName val="3.ФОТ"/>
      <sheetName val="ФС-75"/>
      <sheetName val="ФСМн "/>
      <sheetName val="ФХ "/>
      <sheetName val="ФХС-40 "/>
      <sheetName val="ФХС-48 "/>
      <sheetName val="Лист2"/>
      <sheetName val="Книга1"/>
      <sheetName val="Бюдж-тенге"/>
      <sheetName val="5NK "/>
      <sheetName val="ЕдИзм"/>
      <sheetName val="план07"/>
      <sheetName val="Добычанефти4"/>
      <sheetName val="поставкасравн13"/>
      <sheetName val="Преискурант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Main Page"/>
      <sheetName val="s"/>
      <sheetName val="PP&amp;E mvt for 2003"/>
      <sheetName val="аренда"/>
      <sheetName val="Справочник"/>
      <sheetName val="Баланс"/>
      <sheetName val="Лист1 (3)"/>
      <sheetName val="на 31.12.07 (4)"/>
      <sheetName val="CIP Dec 2006"/>
      <sheetName val="7.1"/>
      <sheetName val="КлассификаторЗнач"/>
      <sheetName val="L-1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База"/>
      <sheetName val="1610"/>
      <sheetName val="1210"/>
      <sheetName val="TB"/>
      <sheetName val="PR CN"/>
      <sheetName val="Comp06"/>
      <sheetName val="предприятия"/>
      <sheetName val="оборудование"/>
      <sheetName val="SUN TB"/>
      <sheetName val="ЦентрЗатр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вознаграждение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SAD Schedule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t0_name"/>
      <sheetName val="9-1"/>
      <sheetName val="4"/>
      <sheetName val="1-1"/>
      <sheetName val="1"/>
      <sheetName val="1 вариант  2009 "/>
      <sheetName val="XREF"/>
      <sheetName val="summary"/>
      <sheetName val="Инвест"/>
      <sheetName val="Запрос"/>
      <sheetName val="month"/>
      <sheetName val="Список документов"/>
      <sheetName val="list"/>
      <sheetName val="с 01.08 по 17.10 = 1569 вагонов"/>
      <sheetName val="линии"/>
      <sheetName val="счетчики"/>
      <sheetName val="потр"/>
      <sheetName val="СН"/>
      <sheetName val="ДД"/>
      <sheetName val="канц"/>
      <sheetName val="Настройки"/>
      <sheetName val="Индексы"/>
      <sheetName val="Datasheet"/>
      <sheetName val="B 1"/>
      <sheetName val="C 25"/>
      <sheetName val="A 100"/>
      <sheetName val="PP&amp;E_mvt_for_2003"/>
      <sheetName val="B_1"/>
      <sheetName val="C_25"/>
      <sheetName val="A_100"/>
      <sheetName val="2БО"/>
      <sheetName val="Cashflow"/>
      <sheetName val="14_1_2_2_(Услуги_связи)"/>
      <sheetName val="14_1_2_2__Услуги связи_"/>
      <sheetName val="7_1"/>
      <sheetName val="14_1_2_2__Услуги_связи_"/>
      <sheetName val="ДБСП_02__2002"/>
      <sheetName val="Транспорт"/>
      <sheetName val="Depr"/>
      <sheetName val="Control"/>
      <sheetName val="VLOOKUP"/>
      <sheetName val="INPUTMASTER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из_сем2"/>
      <sheetName val="Лист1_(3)"/>
      <sheetName val="на_31_12_07_(4)"/>
      <sheetName val="CIP_Dec_2006"/>
      <sheetName val="План_закупок"/>
      <sheetName val="Командировочные_расходы"/>
      <sheetName val="12_из_57_АЗС"/>
      <sheetName val="__2_3_2"/>
      <sheetName val="МО_001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свод2010г_по_гр_"/>
      <sheetName val="Статьи_затрат"/>
      <sheetName val="Income_$"/>
      <sheetName val="2008_ГСМ"/>
      <sheetName val="Плата_за_загрязнение_"/>
      <sheetName val="3_ФОТ"/>
      <sheetName val="2а_(4)"/>
      <sheetName val="выданы_таб_№_(от_25_01_12_ОК)"/>
      <sheetName val="по_2007_году_план_на_2008_год"/>
      <sheetName val="Страхование_ГПО_охр_2"/>
      <sheetName val="исп_см_"/>
      <sheetName val="SUN_TB"/>
      <sheetName val="C-Total_Market"/>
      <sheetName val="I-Demand_Drivers"/>
      <sheetName val="расчет_ГСМ_НА_2013Г"/>
      <sheetName val="канат_прод_"/>
      <sheetName val="2_2_ОтклОТМ"/>
      <sheetName val="1_3_2_ОТМ"/>
      <sheetName val="д_7_001"/>
      <sheetName val="3БК_Инвестиции"/>
      <sheetName val="26_04_2013_(2)"/>
      <sheetName val="СВОД Логистика"/>
      <sheetName val="апрель"/>
      <sheetName val="май"/>
      <sheetName val="март"/>
      <sheetName val="фев"/>
      <sheetName val="класс"/>
      <sheetName val="Список"/>
      <sheetName val="Treatment Summary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из_сем3"/>
      <sheetName val="PP&amp;E_mvt_for_20031"/>
      <sheetName val="ДБСП_02__20021"/>
      <sheetName val="факт_2005_г_1"/>
      <sheetName val="Лист1_(3)1"/>
      <sheetName val="на_31_12_07_(4)1"/>
      <sheetName val="CIP_Dec_20061"/>
      <sheetName val="7_11"/>
      <sheetName val="Изменяемые_данные1"/>
      <sheetName val="Financial_ratios_А31"/>
      <sheetName val="План_закупок1"/>
      <sheetName val="Командировочные_расходы1"/>
      <sheetName val="12_из_57_АЗС1"/>
      <sheetName val="__2_3_21"/>
      <sheetName val="МО_00121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свод2010г_по_гр_1"/>
      <sheetName val="Статьи_затрат1"/>
      <sheetName val="Income_$1"/>
      <sheetName val="14_1_2_2_(Услуги_связи)1"/>
      <sheetName val="balans_31"/>
      <sheetName val="1_411_11"/>
      <sheetName val="Ден_потоки1"/>
      <sheetName val="Haul_cons1"/>
      <sheetName val="Распределение_прибыли1"/>
      <sheetName val="2008_ГСМ1"/>
      <sheetName val="Плата_за_загрязнение_1"/>
      <sheetName val="3_ФОТ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SUN_TB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6_04_2013_(2)1"/>
      <sheetName val="СВОД_Логистика"/>
      <sheetName val="Treatment_Summary"/>
      <sheetName val="FES"/>
      <sheetName val="PR_CN"/>
      <sheetName val="Кабельная продукция"/>
      <sheetName val="Ком плат"/>
      <sheetName val="Списки"/>
      <sheetName val="УО"/>
      <sheetName val="_ 2_3_2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H3.100 Rollforward"/>
      <sheetName val="PKF-2005"/>
      <sheetName val="GAAP TB 31.12.01  detail p&amp;l"/>
      <sheetName val="Sheet2"/>
      <sheetName val="РСза 6-м 2012"/>
      <sheetName val="июнь"/>
      <sheetName val="Пр3"/>
      <sheetName val="4.Налоги"/>
      <sheetName val="Логистика"/>
      <sheetName val="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рев на 09.06."/>
      <sheetName val="опотиз"/>
      <sheetName val="83"/>
      <sheetName val="IFRS FS"/>
      <sheetName val="ГБ"/>
      <sheetName val="Источник финансирования"/>
      <sheetName val="Месяцы"/>
      <sheetName val="ЭКРБ"/>
      <sheetName val="Способ закупки"/>
      <sheetName val="breakdown"/>
      <sheetName val="P&amp;L"/>
      <sheetName val="Provisions"/>
      <sheetName val="FA depreciatio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станц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>
        <row r="1">
          <cell r="G1">
            <v>0</v>
          </cell>
        </row>
      </sheetData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>
        <row r="1">
          <cell r="G1" t="str">
            <v xml:space="preserve"> </v>
          </cell>
        </row>
      </sheetData>
      <sheetData sheetId="248" refreshError="1"/>
      <sheetData sheetId="249">
        <row r="1">
          <cell r="G1">
            <v>0</v>
          </cell>
        </row>
      </sheetData>
      <sheetData sheetId="250" refreshError="1"/>
      <sheetData sheetId="251">
        <row r="1">
          <cell r="G1">
            <v>0</v>
          </cell>
        </row>
      </sheetData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>
        <row r="1">
          <cell r="G1">
            <v>0</v>
          </cell>
        </row>
      </sheetData>
      <sheetData sheetId="258">
        <row r="1">
          <cell r="G1">
            <v>0</v>
          </cell>
        </row>
      </sheetData>
      <sheetData sheetId="259" refreshError="1"/>
      <sheetData sheetId="260">
        <row r="1">
          <cell r="G1">
            <v>0</v>
          </cell>
        </row>
      </sheetData>
      <sheetData sheetId="261">
        <row r="1">
          <cell r="G1">
            <v>0</v>
          </cell>
        </row>
      </sheetData>
      <sheetData sheetId="262">
        <row r="1">
          <cell r="G1">
            <v>0</v>
          </cell>
        </row>
      </sheetData>
      <sheetData sheetId="263">
        <row r="1">
          <cell r="G1">
            <v>0</v>
          </cell>
        </row>
      </sheetData>
      <sheetData sheetId="264">
        <row r="1">
          <cell r="G1">
            <v>0</v>
          </cell>
        </row>
      </sheetData>
      <sheetData sheetId="265">
        <row r="1">
          <cell r="G1">
            <v>0</v>
          </cell>
        </row>
      </sheetData>
      <sheetData sheetId="266">
        <row r="1">
          <cell r="G1">
            <v>0</v>
          </cell>
        </row>
      </sheetData>
      <sheetData sheetId="267">
        <row r="1">
          <cell r="G1">
            <v>0</v>
          </cell>
        </row>
      </sheetData>
      <sheetData sheetId="268">
        <row r="1">
          <cell r="G1">
            <v>0</v>
          </cell>
        </row>
      </sheetData>
      <sheetData sheetId="269">
        <row r="1">
          <cell r="G1">
            <v>0</v>
          </cell>
        </row>
      </sheetData>
      <sheetData sheetId="270">
        <row r="1">
          <cell r="G1">
            <v>0</v>
          </cell>
        </row>
      </sheetData>
      <sheetData sheetId="271">
        <row r="1">
          <cell r="G1">
            <v>0</v>
          </cell>
        </row>
      </sheetData>
      <sheetData sheetId="272">
        <row r="1">
          <cell r="G1">
            <v>0</v>
          </cell>
        </row>
      </sheetData>
      <sheetData sheetId="273">
        <row r="1">
          <cell r="G1">
            <v>0</v>
          </cell>
        </row>
      </sheetData>
      <sheetData sheetId="274">
        <row r="1">
          <cell r="G1">
            <v>0</v>
          </cell>
        </row>
      </sheetData>
      <sheetData sheetId="275">
        <row r="1">
          <cell r="G1">
            <v>0</v>
          </cell>
        </row>
      </sheetData>
      <sheetData sheetId="276">
        <row r="1">
          <cell r="G1">
            <v>0</v>
          </cell>
        </row>
      </sheetData>
      <sheetData sheetId="277">
        <row r="1">
          <cell r="G1" t="str">
            <v xml:space="preserve"> </v>
          </cell>
        </row>
      </sheetData>
      <sheetData sheetId="278">
        <row r="1">
          <cell r="G1">
            <v>0</v>
          </cell>
        </row>
      </sheetData>
      <sheetData sheetId="279">
        <row r="1">
          <cell r="G1" t="str">
            <v xml:space="preserve"> </v>
          </cell>
        </row>
      </sheetData>
      <sheetData sheetId="280">
        <row r="1">
          <cell r="G1">
            <v>0</v>
          </cell>
        </row>
      </sheetData>
      <sheetData sheetId="281">
        <row r="1">
          <cell r="G1">
            <v>0</v>
          </cell>
        </row>
      </sheetData>
      <sheetData sheetId="282">
        <row r="1">
          <cell r="G1">
            <v>0</v>
          </cell>
        </row>
      </sheetData>
      <sheetData sheetId="283">
        <row r="1">
          <cell r="G1" t="str">
            <v xml:space="preserve"> </v>
          </cell>
        </row>
      </sheetData>
      <sheetData sheetId="284">
        <row r="1">
          <cell r="G1">
            <v>0</v>
          </cell>
        </row>
      </sheetData>
      <sheetData sheetId="285">
        <row r="1">
          <cell r="G1">
            <v>0</v>
          </cell>
        </row>
      </sheetData>
      <sheetData sheetId="286">
        <row r="1">
          <cell r="G1" t="str">
            <v xml:space="preserve"> </v>
          </cell>
        </row>
      </sheetData>
      <sheetData sheetId="287">
        <row r="1">
          <cell r="G1">
            <v>0</v>
          </cell>
        </row>
      </sheetData>
      <sheetData sheetId="288">
        <row r="1">
          <cell r="G1" t="str">
            <v xml:space="preserve"> </v>
          </cell>
        </row>
      </sheetData>
      <sheetData sheetId="289">
        <row r="1">
          <cell r="G1">
            <v>0</v>
          </cell>
        </row>
      </sheetData>
      <sheetData sheetId="290">
        <row r="1">
          <cell r="G1">
            <v>0</v>
          </cell>
        </row>
      </sheetData>
      <sheetData sheetId="291">
        <row r="1">
          <cell r="G1">
            <v>0</v>
          </cell>
        </row>
      </sheetData>
      <sheetData sheetId="292">
        <row r="1">
          <cell r="G1">
            <v>0</v>
          </cell>
        </row>
      </sheetData>
      <sheetData sheetId="293">
        <row r="1">
          <cell r="G1">
            <v>0</v>
          </cell>
        </row>
      </sheetData>
      <sheetData sheetId="294">
        <row r="1">
          <cell r="G1">
            <v>0</v>
          </cell>
        </row>
      </sheetData>
      <sheetData sheetId="295">
        <row r="1">
          <cell r="G1">
            <v>0</v>
          </cell>
        </row>
      </sheetData>
      <sheetData sheetId="296">
        <row r="1">
          <cell r="G1">
            <v>0</v>
          </cell>
        </row>
      </sheetData>
      <sheetData sheetId="297">
        <row r="1">
          <cell r="G1">
            <v>0</v>
          </cell>
        </row>
      </sheetData>
      <sheetData sheetId="298">
        <row r="1">
          <cell r="G1">
            <v>0</v>
          </cell>
        </row>
      </sheetData>
      <sheetData sheetId="299">
        <row r="1">
          <cell r="G1" t="str">
            <v xml:space="preserve"> </v>
          </cell>
        </row>
      </sheetData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/>
      <sheetData sheetId="364"/>
      <sheetData sheetId="365" refreshError="1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Форма2"/>
      <sheetName val="Форма1"/>
      <sheetName val="Пр2"/>
      <sheetName val="флормиро"/>
      <sheetName val="элементы"/>
      <sheetName val="Hidden"/>
      <sheetName val="Форма3.6"/>
      <sheetName val="ОТиТБ"/>
      <sheetName val="5NK "/>
      <sheetName val="Нефть"/>
      <sheetName val="ДС МЗК"/>
      <sheetName val="База"/>
      <sheetName val="#ССЫЛКА"/>
      <sheetName val="XREF"/>
      <sheetName val="summary"/>
      <sheetName val="Лист2"/>
      <sheetName val="д.7.001"/>
      <sheetName val="Фин план"/>
      <sheetName val="Изменяемые данные"/>
      <sheetName val="14.1.2.2.(Услуги связи)"/>
      <sheetName val="Movements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рма2"/>
      <sheetName val="5NK "/>
      <sheetName val="флормиро"/>
      <sheetName val="Hidden"/>
      <sheetName val="СписокТЭП"/>
      <sheetName val="Титул1"/>
      <sheetName val="Нефть"/>
      <sheetName val="цены14"/>
      <sheetName val="#REF"/>
      <sheetName val="Лист2"/>
      <sheetName val="д.7.001"/>
      <sheetName val="ЕдИзм"/>
      <sheetName val="Текущие цены"/>
      <sheetName val="рабочий"/>
      <sheetName val="окраска"/>
      <sheetName val="ДС МЗК"/>
      <sheetName val="Форма3.6"/>
      <sheetName val="ОТиТБ"/>
      <sheetName val="Форма1"/>
      <sheetName val="справка"/>
      <sheetName val="группа"/>
      <sheetName val="list"/>
      <sheetName val="LME_prices"/>
      <sheetName val="Изменяемые данные"/>
      <sheetName val="Water trucking 2005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УПРАВЛЕНИЕ11"/>
      <sheetName val="МАТЕР.433,452"/>
      <sheetName val="титул.лист "/>
      <sheetName val="Ден потоки"/>
      <sheetName val="ремонт 25"/>
      <sheetName val="ЛКЗ и ЭКЗ"/>
      <sheetName val="материалы"/>
      <sheetName val="Financial ratios А3"/>
      <sheetName val="Справочник"/>
      <sheetName val="ФОТ"/>
      <sheetName val="1.411.1"/>
      <sheetName val="измен. формы"/>
      <sheetName val="Индексы"/>
      <sheetName val="#REF!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Добыча нефти4"/>
      <sheetName val="Потребители"/>
      <sheetName val="Блоки"/>
      <sheetName val="Пок"/>
      <sheetName val="NOV"/>
      <sheetName val="Пр2"/>
      <sheetName val="Сдача "/>
      <sheetName val="Форма2"/>
      <sheetName val="ОборБалФормОтч"/>
      <sheetName val="МО 0012"/>
      <sheetName val="Бюджет"/>
      <sheetName val="Assumptions"/>
      <sheetName val="СПгнг"/>
      <sheetName val="ведомость"/>
      <sheetName val="Ввод"/>
      <sheetName val="Лист3"/>
      <sheetName val="12 из 57 АЗС"/>
      <sheetName val="Loans out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Sheet1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N_SVOD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Спецификация"/>
      <sheetName val="МодельППП (Свод)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МАТЕР.433,452"/>
      <sheetName val="1. Доходы"/>
      <sheetName val="K6210"/>
      <sheetName val="общие данные"/>
      <sheetName val="отделы"/>
      <sheetName val="PL12"/>
      <sheetName val="Начисления процентов"/>
      <sheetName val="точн2"/>
      <sheetName val="Макро"/>
      <sheetName val="PV-date"/>
      <sheetName val="табель"/>
      <sheetName val="Способ закупки"/>
      <sheetName val="7НК"/>
      <sheetName val="indx"/>
      <sheetName val="Транс12де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/>
      <sheetData sheetId="433" refreshError="1"/>
      <sheetData sheetId="434" refreshError="1"/>
      <sheetData sheetId="435" refreshError="1"/>
      <sheetData sheetId="43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ТЭП старая"/>
      <sheetName val="Добычанефти4"/>
      <sheetName val="поставкасравн13"/>
      <sheetName val="поставка сравн13"/>
      <sheetName val="N_SVOD"/>
      <sheetName val="объемы"/>
      <sheetName val="из сем"/>
      <sheetName val="ОборБалФормОтч"/>
      <sheetName val="ИзменяемыеДанные"/>
      <sheetName val="Форма3.6"/>
      <sheetName val="14_1_2_2_(Услуги_связи)1"/>
      <sheetName val="14_1_2_2_(Услуги_связи)"/>
      <sheetName val="14_1_2_2_(Услуги_связи)2"/>
      <sheetName val="Сдача "/>
      <sheetName val="Бюджет"/>
      <sheetName val="ЕдИзм"/>
      <sheetName val="Предпр"/>
      <sheetName val="7.1"/>
      <sheetName val="Ф4_КБМ+АФ"/>
      <sheetName val="Справочник"/>
      <sheetName val="14_1_2_2__Услуги связи_"/>
      <sheetName val="L-1 Займ БРК инвест цели"/>
      <sheetName val="G-1"/>
      <sheetName val="Treatment Summary"/>
      <sheetName val="Пром1"/>
      <sheetName val="Assumptions"/>
      <sheetName val="  2.3.2"/>
      <sheetName val="11"/>
      <sheetName val="Содержание"/>
      <sheetName val="Добыча нефти4"/>
      <sheetName val="#REF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1Утв ТК  Capex 07 "/>
      <sheetName val="исп.см."/>
      <sheetName val="по 2007 году план на 2008 год"/>
      <sheetName val="справка"/>
      <sheetName val="группа"/>
      <sheetName val="д.7.001"/>
      <sheetName val="5NK "/>
      <sheetName val="Пр2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I. Прогноз доходов"/>
      <sheetName val="Нефть"/>
      <sheetName val="LME_prices"/>
      <sheetName val="Prelim Cost"/>
      <sheetName val="Статьи затрат"/>
      <sheetName val="Справка ИЦА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Keys"/>
      <sheetName val="Месяц"/>
      <sheetName val="Расчет2000Прямой"/>
      <sheetName val="МодельППП (Свод)"/>
      <sheetName val="общие данные"/>
      <sheetName val="отделы"/>
      <sheetName val="2002(v2)"/>
      <sheetName val="Титул1"/>
      <sheetName val="Макро"/>
      <sheetName val="ОСВ"/>
      <sheetName val="текст"/>
      <sheetName val="филиалы"/>
      <sheetName val="Лист3"/>
      <sheetName val="точн2"/>
      <sheetName val="ФП"/>
      <sheetName val="флормиро"/>
      <sheetName val="450 (2)"/>
      <sheetName val="приложение№3"/>
      <sheetName val="Add-s test"/>
      <sheetName val="АЗФ"/>
      <sheetName val="АК"/>
      <sheetName val="Актюбе"/>
      <sheetName val="ССГПО"/>
      <sheetName val="ввод-вывод ОС авг2004- 2005"/>
      <sheetName val="BS new"/>
      <sheetName val="2007 0,01"/>
      <sheetName val="Накл"/>
      <sheetName val="Гр5(о)"/>
      <sheetName val="Loans out"/>
      <sheetName val="июнь"/>
      <sheetName val="май 203"/>
      <sheetName val="Лист6"/>
      <sheetName val="Лист1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свод"/>
      <sheetName val="Hidden"/>
      <sheetName val="6БО"/>
      <sheetName val="Форма 3"/>
      <sheetName val="Форма 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МАТЕР.433,452"/>
      <sheetName val="исходные данные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Sheet1"/>
      <sheetName val="ГБ"/>
      <sheetName val="мат расходы"/>
      <sheetName val="план"/>
      <sheetName val="Сводная"/>
      <sheetName val="2.8. стр-ра себестоимости"/>
      <sheetName val="#REF!"/>
      <sheetName val="Баланс"/>
      <sheetName val="Предпосылки"/>
      <sheetName val="IS"/>
      <sheetName val="Форма 18"/>
      <sheetName val="Перем. затр"/>
      <sheetName val="Потребители"/>
      <sheetName val="Бло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 refreshError="1"/>
      <sheetData sheetId="163" refreshError="1"/>
      <sheetData sheetId="164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КМГ"/>
      <sheetName val="Модель КТО"/>
      <sheetName val="МодельППП (Свод)"/>
      <sheetName val="МодельППП (нефть)"/>
      <sheetName val="МодельППП (вода)"/>
      <sheetName val="МодельАП (Свод)"/>
      <sheetName val="МодельАП (Нефть)"/>
      <sheetName val="Использование природного сырья"/>
      <sheetName val="МодельАП (Вода)"/>
      <sheetName val="Сырье и материалы"/>
      <sheetName val="ГСМ"/>
      <sheetName val="Топливо"/>
      <sheetName val="ФОТ"/>
      <sheetName val="Энергия"/>
      <sheetName val="Амортизация"/>
      <sheetName val="Кап. ремонт"/>
      <sheetName val="ЗФ КР"/>
      <sheetName val="Капитализация (ЗФ)"/>
      <sheetName val="Тек.ремонт"/>
      <sheetName val="ПНР"/>
      <sheetName val="Технол.расходы"/>
      <sheetName val="Авиа"/>
      <sheetName val="Услуги связи"/>
      <sheetName val="Связь"/>
      <sheetName val="Транспорт грузов"/>
      <sheetName val="Служба метрологии"/>
      <sheetName val="Ком.расходы"/>
      <sheetName val="Диагностика"/>
      <sheetName val="ОТиТБ"/>
      <sheetName val="НИОКР"/>
      <sheetName val="НТД"/>
      <sheetName val="подготовка кадров "/>
      <sheetName val="Охрана окр.среды"/>
      <sheetName val="Страхование"/>
      <sheetName val="сод. и лиц. автотр. "/>
      <sheetName val="Другие прочие "/>
      <sheetName val="услуги банков"/>
      <sheetName val="почтово-канц. расходы"/>
      <sheetName val="Содерж. адм.зданий"/>
      <sheetName val="Аренда"/>
      <sheetName val="юр конслт услуги"/>
      <sheetName val="Налоги"/>
      <sheetName val="Реклама"/>
      <sheetName val="Имиджевая"/>
      <sheetName val="охрана"/>
      <sheetName val="Другие2"/>
      <sheetName val="соц пособия и МП"/>
      <sheetName val="Спонсорская помощь"/>
      <sheetName val="Социальная сфера"/>
      <sheetName val="Расх.на кул.озд.мер. "/>
      <sheetName val="Пр. соцвыплаты"/>
      <sheetName val="Форма2"/>
      <sheetName val="ЦХЛ 2004"/>
      <sheetName val="#ССЫЛКА"/>
      <sheetName val="Movements"/>
      <sheetName val="Б.мчас (П)"/>
      <sheetName val="База"/>
      <sheetName val="Титул1"/>
      <sheetName val="I. Прогноз доходов"/>
      <sheetName val="Добыча нефти4"/>
      <sheetName val="поставка сравн13"/>
      <sheetName val="Форма3.6"/>
      <sheetName val="СписокТЭП"/>
      <sheetName val="list"/>
      <sheetName val="FES"/>
      <sheetName val="Сеть"/>
      <sheetName val="  2.3.2"/>
      <sheetName val="5NK "/>
      <sheetName val="Сводный бизнес-план"/>
      <sheetName val="14.1.2.2.(Услуги связи)"/>
      <sheetName val="2.2 ОтклОТМ"/>
      <sheetName val="1.3.2 ОТМ"/>
      <sheetName val="Предпр"/>
      <sheetName val="ЦентрЗатр"/>
      <sheetName val="ЕдИзм"/>
      <sheetName val="общие данные"/>
      <sheetName val="отделы"/>
      <sheetName val="ввод-вывод ОС авг2004- 2005"/>
      <sheetName val="бартер"/>
      <sheetName val="L-1"/>
      <sheetName val="Форма1"/>
      <sheetName val="LME_prices"/>
      <sheetName val="Макро"/>
      <sheetName val="д.7.001"/>
      <sheetName val="Hidden"/>
      <sheetName val="P&amp;L"/>
      <sheetName val="Provisions"/>
      <sheetName val="Бюдж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ОТиТБ"/>
      <sheetName val="2.2 ОтклОТМ"/>
      <sheetName val="1.3.2 ОТМ"/>
      <sheetName val="Предпр"/>
      <sheetName val="ЦентрЗатр"/>
      <sheetName val="ЕдИзм"/>
      <sheetName val="I. Прогноз доходов"/>
      <sheetName val="СПгнг"/>
      <sheetName val="жд тарифы"/>
      <sheetName val="1NK"/>
      <sheetName val="ОборБалФормОтч"/>
      <sheetName val="МО 0012"/>
      <sheetName val="Добыча нефти4"/>
      <sheetName val="поставка сравн13"/>
      <sheetName val="Статьи ТЭП_старая структура"/>
      <sheetName val="Notes IS"/>
      <sheetName val="Input TD"/>
      <sheetName val="Сверка"/>
      <sheetName val="Prelim Cost"/>
      <sheetName val="#ССЫЛКА"/>
      <sheetName val="бартер"/>
      <sheetName val="1 класс"/>
      <sheetName val="2 класс"/>
      <sheetName val="3 класс"/>
      <sheetName val="4 класс"/>
      <sheetName val="5 класс"/>
      <sheetName val="Сеть"/>
      <sheetName val="t0_name"/>
      <sheetName val="ИД"/>
      <sheetName val="Отпуск продукции"/>
      <sheetName val="1"/>
      <sheetName val="MS"/>
      <sheetName val="общие данные"/>
      <sheetName val="спецпит,проездн."/>
      <sheetName val="13 NGDO"/>
      <sheetName val="FES"/>
      <sheetName val="Loans out"/>
      <sheetName val="МодельППП (Свод)"/>
      <sheetName val="Лист1"/>
      <sheetName val="2_2_ОтклОТМ"/>
      <sheetName val="1_3_2_ОТМ"/>
      <sheetName val="1кв. "/>
      <sheetName val="2кв."/>
      <sheetName val="14.1.2.2.(Услуги связи)"/>
      <sheetName val="табель"/>
      <sheetName val="Баланс"/>
      <sheetName val="Sheet5"/>
      <sheetName val="Форма1"/>
      <sheetName val="10 БО (kzt)"/>
      <sheetName val="Штатное 2012-2015"/>
      <sheetName val="смета"/>
      <sheetName val="Бюджет"/>
      <sheetName val="Пр2"/>
      <sheetName val="ввод-вывод ОС авг2004- 2005"/>
      <sheetName val="Форма3.6"/>
      <sheetName val="элементы"/>
      <sheetName val="5NK "/>
      <sheetName val="L-1"/>
      <sheetName val="из сем"/>
      <sheetName val="Нефть"/>
      <sheetName val="флормиро"/>
      <sheetName val="ПРОГНОЗ_1"/>
      <sheetName val="  2.3.2"/>
      <sheetName val="PL12"/>
      <sheetName val="отделы"/>
      <sheetName val="MATRIX_DA_10"/>
      <sheetName val="Cash flow 2011"/>
      <sheetName val="list"/>
      <sheetName val="VLOOKUP"/>
      <sheetName val="INPUTMASTER"/>
      <sheetName val="КБ"/>
      <sheetName val="Способ закупки"/>
      <sheetName val="AFS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Титул1"/>
      <sheetName val="АТиК"/>
      <sheetName val="Потребители"/>
      <sheetName val="Блоки"/>
      <sheetName val="д.7.001"/>
      <sheetName val="Datasheet"/>
      <sheetName val="Сдача "/>
      <sheetName val="s"/>
      <sheetName val="Hidden"/>
      <sheetName val="ЭКРБ"/>
      <sheetName val="1 (2)"/>
      <sheetName val="Об-я св-а"/>
      <sheetName val="2в"/>
      <sheetName val="Гр5(о)"/>
      <sheetName val="УУ 9 мес.2014"/>
      <sheetName val="BS new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Направления обучения"/>
      <sheetName val="Приложение 7 (ЕНП)"/>
      <sheetName val="сортамент"/>
      <sheetName val="Заполните"/>
      <sheetName val="План"/>
      <sheetName val="Факт"/>
      <sheetName val="Лист5"/>
      <sheetName val="потр"/>
      <sheetName val="СН"/>
      <sheetName val="Лист3"/>
      <sheetName val="точн2"/>
      <sheetName val="БиВи (290)"/>
      <sheetName val="450 (2)"/>
      <sheetName val="Накл"/>
      <sheetName val="I KEY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ОТиТБ"/>
      <sheetName val="поставка сравн13"/>
      <sheetName val="Добыча нефти4"/>
      <sheetName val="МодельППП (Свод)"/>
      <sheetName val="Лист1"/>
      <sheetName val="FES"/>
      <sheetName val="Пром1"/>
      <sheetName val="СПгнг"/>
      <sheetName val="13 NGDO"/>
      <sheetName val="ЦентрЗатр"/>
      <sheetName val="2_2_ОтклОТМ"/>
      <sheetName val="1_3_2_ОТМ"/>
      <sheetName val="жд тарифы"/>
      <sheetName val="1кв. "/>
      <sheetName val="2кв."/>
      <sheetName val="14.1.2.2.(Услуги связи)"/>
      <sheetName val="I. Прогноз доходов"/>
      <sheetName val="бартер"/>
      <sheetName val="Input TD"/>
      <sheetName val="2.2 ОтклОТМ"/>
      <sheetName val="1.3.2 ОТМ"/>
      <sheetName val="Предпр"/>
      <sheetName val="ЕдИзм"/>
      <sheetName val="ОборБалФормОтч"/>
      <sheetName val="МО 0012"/>
      <sheetName val="Статьи ТЭП_старая структура"/>
      <sheetName val="Notes IS"/>
      <sheetName val="1NK"/>
      <sheetName val="#ССЫЛКА"/>
      <sheetName val="Prelim Cost"/>
      <sheetName val="Сверка"/>
      <sheetName val="t0_name"/>
      <sheetName val="ИД"/>
      <sheetName val="Отпуск продукции"/>
      <sheetName val="1 класс"/>
      <sheetName val="2 класс"/>
      <sheetName val="3 класс"/>
      <sheetName val="4 класс"/>
      <sheetName val="5 класс"/>
      <sheetName val="спецпит,проездн."/>
      <sheetName val="1"/>
      <sheetName val="MS"/>
      <sheetName val="табель"/>
      <sheetName val="Баланс"/>
      <sheetName val="Sheet5"/>
      <sheetName val="Сеть"/>
      <sheetName val="общие данные"/>
      <sheetName val="Loans out"/>
      <sheetName val="ввод-вывод ОС авг2004- 2005"/>
      <sheetName val="5NK "/>
      <sheetName val="из сем"/>
      <sheetName val="Форма1"/>
      <sheetName val="10 БО (kzt)"/>
      <sheetName val="Штатное 2012-2015"/>
      <sheetName val="смета"/>
      <sheetName val="Бюджет"/>
      <sheetName val="Пр2"/>
      <sheetName val="  2.3.2"/>
      <sheetName val="PL12"/>
      <sheetName val="Форма3.6"/>
      <sheetName val="элементы"/>
      <sheetName val="MATRIX_DA_10"/>
      <sheetName val="План произв-ва (мес.) (бюджет)"/>
      <sheetName val="янв (2)"/>
      <sheetName val="рев дф (1.08.) (3)"/>
      <sheetName val="заявка (2)"/>
      <sheetName val="Материалы для АУП"/>
      <sheetName val="ГТМ"/>
      <sheetName val="тех реж"/>
      <sheetName val="Кап затраты ОМГ 16"/>
      <sheetName val="Сотрудники"/>
      <sheetName val="замер"/>
      <sheetName val="L-1"/>
      <sheetName val="Титул1"/>
      <sheetName val="Нефть"/>
      <sheetName val="флормиро"/>
      <sheetName val="Hidden"/>
      <sheetName val="s"/>
      <sheetName val="Способ закупки"/>
      <sheetName val="Макро"/>
      <sheetName val="list"/>
      <sheetName val="1 (2)"/>
      <sheetName val="2в"/>
      <sheetName val="Об-я св-а"/>
      <sheetName val="МОП"/>
      <sheetName val="Cash flow 2011"/>
      <sheetName val="ЭКРБ"/>
      <sheetName val="7НК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потр"/>
      <sheetName val="СН"/>
      <sheetName val="апрель 09."/>
      <sheetName val="КБ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VLOOKUP"/>
      <sheetName val="INPUTMASTER"/>
      <sheetName val="АТиК"/>
      <sheetName val="Потребители"/>
      <sheetName val="Блоки"/>
      <sheetName val="Сдача "/>
      <sheetName val="Datasheet"/>
      <sheetName val="ПРОГНОЗ_1"/>
      <sheetName val="отделы"/>
      <sheetName val="Приложение 7 (ЕНП)"/>
      <sheetName val="сброс"/>
      <sheetName val="LME_prices"/>
      <sheetName val="AF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 "/>
      <sheetName val="Содержание"/>
      <sheetName val="KMG"/>
      <sheetName val="KTZ"/>
      <sheetName val="AA"/>
      <sheetName val="KEGOC"/>
      <sheetName val="KTEL"/>
      <sheetName val="KPOST"/>
      <sheetName val="KENG"/>
      <sheetName val="1ГО"/>
      <sheetName val="2ГО"/>
      <sheetName val="Справка"/>
      <sheetName val="Dictionaries"/>
      <sheetName val="FES"/>
      <sheetName val="ЦХЛ 2004"/>
      <sheetName val="Доходы"/>
      <sheetName val="ОРУ ктж "/>
      <sheetName val="ОРУ Д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">
          <cell r="B2" t="str">
            <v>Январь</v>
          </cell>
        </row>
        <row r="3">
          <cell r="B3" t="str">
            <v>Февраль</v>
          </cell>
        </row>
        <row r="4">
          <cell r="B4" t="str">
            <v>Март</v>
          </cell>
        </row>
        <row r="5">
          <cell r="B5" t="str">
            <v>Апрель</v>
          </cell>
        </row>
        <row r="6">
          <cell r="B6" t="str">
            <v>Май</v>
          </cell>
        </row>
        <row r="7">
          <cell r="B7" t="str">
            <v>Июнь</v>
          </cell>
        </row>
        <row r="8">
          <cell r="B8" t="str">
            <v>Июль</v>
          </cell>
        </row>
        <row r="9">
          <cell r="B9" t="str">
            <v>Август</v>
          </cell>
        </row>
        <row r="10">
          <cell r="B10" t="str">
            <v>Сентябрь</v>
          </cell>
        </row>
        <row r="11">
          <cell r="B11" t="str">
            <v>Октябрь</v>
          </cell>
        </row>
        <row r="12">
          <cell r="B12" t="str">
            <v>Ноябрь</v>
          </cell>
        </row>
        <row r="13">
          <cell r="B13" t="str">
            <v>Декабрь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I KEY INFORMATION"/>
      <sheetName val="Счетчики"/>
      <sheetName val="ОТиТБ"/>
      <sheetName val="ввод-вывод ОС авг2004- 2005"/>
      <sheetName val="ID-06"/>
      <sheetName val="СПгнг"/>
      <sheetName val="группа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2_"/>
      <sheetName val="из сем"/>
      <sheetName val="глина"/>
      <sheetName val="13 NGDO"/>
      <sheetName val="жд тарифы"/>
      <sheetName val="2 БО (тенге)"/>
      <sheetName val="FES"/>
      <sheetName val="Счет-ф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МО 0012"/>
      <sheetName val="класс"/>
      <sheetName val="Об-я св-а"/>
      <sheetName val="2БО"/>
      <sheetName val="Пром1"/>
      <sheetName val="ЦентрЗатр"/>
      <sheetName val="Лист3"/>
      <sheetName val="#REF"/>
      <sheetName val="Отпуск продукции"/>
      <sheetName val="1NK"/>
      <sheetName val="LME_prices"/>
      <sheetName val="Спецификация"/>
      <sheetName val="МодельППП (Свод)"/>
      <sheetName val="Сеть"/>
      <sheetName val="Бюджет"/>
      <sheetName val="PV-date"/>
      <sheetName val="табель"/>
      <sheetName val="ЕдИзм"/>
      <sheetName val="Предпр"/>
      <sheetName val="Способ закупки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Исходн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_ 2_3_2"/>
      <sheetName val="Позиция"/>
      <sheetName val="пожар.охрана"/>
      <sheetName val="рев на 09.06.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Расчет2000Прямой"/>
      <sheetName val="сброс"/>
      <sheetName val="Бал. тов. пр.-1"/>
      <sheetName val="Транс12дек"/>
      <sheetName val="PL12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МАТЕР.433,452"/>
      <sheetName val="1. Доходы"/>
      <sheetName val="баки _2_"/>
      <sheetName val="Prelim Cost"/>
      <sheetName val="смета"/>
      <sheetName val="Накл"/>
      <sheetName val="MATRIX_DA_10"/>
      <sheetName val="Data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ИД"/>
      <sheetName val="Dictionaries"/>
      <sheetName val="_"/>
      <sheetName val="2002(v2)"/>
      <sheetName val="BS new"/>
      <sheetName val="_x0000__x0003__x0000__x0004__x0000_"/>
      <sheetName val="_x0000_ _x0000_"/>
      <sheetName val="цеховые"/>
      <sheetName val="#REF!"/>
      <sheetName val="_x0000__x0009__x0000_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/>
      <sheetData sheetId="375" refreshError="1"/>
      <sheetData sheetId="376" refreshError="1"/>
      <sheetData sheetId="377" refreshError="1"/>
      <sheetData sheetId="378" refreshError="1"/>
      <sheetData sheetId="379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ставки"/>
      <sheetName val="Сводная"/>
      <sheetName val="Испания_начисление"/>
      <sheetName val="КП_на 01.01.2009"/>
      <sheetName val="ТТК начис. на 31.12.08"/>
      <sheetName val="ЛЛизинг начис. на 31.12.08"/>
      <sheetName val="ЛСЦ начисленное на 31.12.08"/>
      <sheetName val="транстелеком БРК (2)"/>
      <sheetName val="транстелеком ABN (2)"/>
      <sheetName val="Япония_начисление"/>
      <sheetName val="54 ДГУ_начисление"/>
      <sheetName val="200 ДГУ_начисление"/>
      <sheetName val="Бонды_начисление"/>
      <sheetName val="Лист2"/>
      <sheetName val="Лист3"/>
      <sheetName val="L-1"/>
      <sheetName val="СписокТЭП"/>
      <sheetName val="Форма2"/>
      <sheetName val="Balance Sheet"/>
      <sheetName val="База"/>
      <sheetName val="ввод-вывод ОС авг2004- 2005"/>
      <sheetName val="ОТиТБ"/>
      <sheetName val="#ССЫЛКА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ement schedule"/>
      <sheetName val="Disclosure (leasing)"/>
      <sheetName val="depreciation testing"/>
      <sheetName val=" threshhold"/>
      <sheetName val="Additions testing"/>
      <sheetName val="Tickmarks"/>
      <sheetName val="Disposals testing"/>
      <sheetName val=" threshold"/>
      <sheetName val="Leased Assets"/>
      <sheetName val="FA Movement-consolidated-2000"/>
      <sheetName val="depreciation testing (2)"/>
      <sheetName val="FA UZ"/>
      <sheetName val="Disposals"/>
      <sheetName val="adds"/>
      <sheetName val="1651 "/>
      <sheetName val="FA Rollforward"/>
      <sheetName val="LME_prices"/>
      <sheetName val="L-1"/>
      <sheetName val="9"/>
      <sheetName val="FA Movement "/>
      <sheetName val="FS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СписокТЭП"/>
      <sheetName val="ОТиТБ"/>
      <sheetName val="элементы"/>
      <sheetName val="Worksheet in 5640 FA roll-forwa"/>
      <sheetName val="Movement"/>
      <sheetName val="Venit for cross reff"/>
      <sheetName val="GH_621"/>
      <sheetName val="GH_622"/>
      <sheetName val="Ter_612"/>
      <sheetName val="Ter_621"/>
      <sheetName val="Ter_622"/>
      <sheetName val="Ter_611"/>
      <sheetName val="AS_622"/>
      <sheetName val="GB_611"/>
      <sheetName val="GB_612"/>
      <sheetName val="GB_622"/>
      <sheetName val="GH_611"/>
      <sheetName val="GH_612"/>
      <sheetName val="Transformation table  2002"/>
      <sheetName val="Intercompany transactions"/>
      <sheetName val="свод"/>
      <sheetName val="Def"/>
      <sheetName val="Securities"/>
      <sheetName val="Rollforward"/>
      <sheetName val="Payroll 2004"/>
      <sheetName val="Depreciation"/>
      <sheetName val="Summary"/>
      <sheetName val="P_L"/>
      <sheetName val="Provisions"/>
      <sheetName val="Статьи"/>
      <sheetName val="GAAP TB 31.12.01  detail p&amp;l"/>
      <sheetName val="services.01"/>
      <sheetName val="breakdown"/>
      <sheetName val="Threshold Calc"/>
      <sheetName val="FA depreciation"/>
      <sheetName val="utilities.01"/>
      <sheetName val="Лист3"/>
      <sheetName val="ТМЗ-6"/>
      <sheetName val="#ССЫЛКА"/>
      <sheetName val="Форма2"/>
      <sheetName val="поставка сравн13"/>
      <sheetName val="Нефть"/>
      <sheetName val="флормиро"/>
      <sheetName val="МодельППП (Свод)"/>
      <sheetName val="P&amp;L"/>
      <sheetName val="ввод-вывод ОС авг2004- 2005"/>
      <sheetName val="Hidden"/>
      <sheetName val="сброс"/>
      <sheetName val="material realised"/>
      <sheetName val="electricity"/>
      <sheetName val="Balance Sheet"/>
      <sheetName val="FES"/>
      <sheetName val="Добыча нефти4"/>
      <sheetName val="Rollfwd PBC"/>
      <sheetName val="Additions"/>
      <sheetName val="База"/>
      <sheetName val="Сеть"/>
      <sheetName val="Гр5(о)"/>
      <sheetName val="Input_2"/>
      <sheetName val="2007 0,01"/>
    </sheetNames>
    <sheetDataSet>
      <sheetData sheetId="0">
        <row r="20">
          <cell r="E20">
            <v>121332</v>
          </cell>
        </row>
      </sheetData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Баланс"/>
      <sheetName val="Нефть"/>
      <sheetName val="поставка сравн13"/>
      <sheetName val="Форма2"/>
      <sheetName val="ОТиТБ"/>
      <sheetName val="LME_prices"/>
      <sheetName val="группа"/>
      <sheetName val="Исходн"/>
      <sheetName val="СписокТЭП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отр"/>
      <sheetName val="СН"/>
      <sheetName val="Потребители"/>
      <sheetName val="Блоки"/>
      <sheetName val="Пок"/>
      <sheetName val="NOV"/>
      <sheetName val="Пр2"/>
      <sheetName val="FES"/>
      <sheetName val="предприятия"/>
      <sheetName val="Добыча нефти4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#REF"/>
      <sheetName val="L-1 (БРК)"/>
      <sheetName val="g-1"/>
      <sheetName val="Лист3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t0_name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Лист 1"/>
      <sheetName val="Ввод"/>
      <sheetName val="д.7.001"/>
      <sheetName val="list"/>
      <sheetName val="Сдача "/>
      <sheetName val="ОборБалФормОтч"/>
      <sheetName val="МО 0012"/>
      <sheetName val="Бюджет"/>
      <sheetName val="Assumptions"/>
      <sheetName val="СПгнг"/>
      <sheetName val="ведомость"/>
      <sheetName val="12 из 57 АЗС"/>
      <sheetName val="Loans out"/>
      <sheetName val="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Счет-ф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Отпуск продукции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Sheet1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N_SVOD"/>
      <sheetName val="5NK "/>
      <sheetName val="по 2007 году план на 2008 год"/>
      <sheetName val="Труд."/>
      <sheetName val="Сеть"/>
      <sheetName val="Спецификация"/>
      <sheetName val="МодельППП (Свод)"/>
      <sheetName val="БиВи (290)"/>
      <sheetName val="450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МАТЕР.433,452"/>
      <sheetName val="Гр5(о)"/>
      <sheetName val="1. Доходы"/>
      <sheetName val="PL12"/>
      <sheetName val="PV-date"/>
      <sheetName val="табель"/>
      <sheetName val="Способ закупки"/>
      <sheetName val="7НК"/>
      <sheetName val="indx"/>
      <sheetName val="Транс12дек"/>
      <sheetName val="AFS"/>
      <sheetName val="смета"/>
      <sheetName val="спр. АРЕМ"/>
      <sheetName val="Additions testing"/>
      <sheetName val="Movement schedule"/>
      <sheetName val="depreciation testing"/>
      <sheetName val="_"/>
      <sheetName val="FA Movement "/>
      <sheetName val="форма 3 смета затрат"/>
      <sheetName val="Заявлени+сдач.обх.по 22.02.12"/>
      <sheetName val="Месяц"/>
      <sheetName val="зоны"/>
      <sheetName val="баки _2_"/>
      <sheetName val="1_x0004__x0000__x0007__x0000__x0006__x0000__x000e__x0000_"/>
      <sheetName val="_x0009__x0000_"/>
      <sheetName val=" _x0000_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2НК"/>
      <sheetName val="6НК"/>
      <sheetName val="8НК"/>
      <sheetName val="1БК"/>
      <sheetName val="2БК"/>
      <sheetName val="3БК"/>
      <sheetName val="4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3ГО"/>
      <sheetName val="HR_KPI"/>
      <sheetName val="Персонал"/>
      <sheetName val="1-СП"/>
      <sheetName val="2-О"/>
      <sheetName val="Справка"/>
      <sheetName val="KPI List"/>
      <sheetName val="Dictionaries"/>
      <sheetName val="FES"/>
      <sheetName val="ЦХЛ 2004"/>
    </sheetNames>
    <sheetDataSet>
      <sheetData sheetId="0" refreshError="1"/>
      <sheetData sheetId="1" refreshError="1">
        <row r="4">
          <cell r="D4" t="str">
            <v>2008 г.</v>
          </cell>
        </row>
        <row r="5">
          <cell r="D5">
            <v>2008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 (DM)"/>
      <sheetName val="Prov (USD)"/>
      <sheetName val="obs NTM "/>
      <sheetName val="Obs cig"/>
      <sheetName val="Str costs"/>
      <sheetName val="M-100"/>
      <sheetName val="Anlagevermögen"/>
      <sheetName val="#ССЫЛКА"/>
      <sheetName val="LE 05 attachment"/>
      <sheetName val="Содержание"/>
      <sheetName val="misc"/>
      <sheetName val="Info"/>
      <sheetName val="Threshold Table"/>
      <sheetName val="Dictionaries"/>
      <sheetName val="2210900-Aug"/>
      <sheetName val="CMA Calculations- Figure 5440.1"/>
      <sheetName val="CMA Calculations- R Factor"/>
      <sheetName val="HideSheet"/>
      <sheetName val="Loans out"/>
      <sheetName val="FES"/>
      <sheetName val="Graph"/>
      <sheetName val="Sales"/>
      <sheetName val="ARDetai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 оптимизации"/>
      <sheetName val="после оптимизации"/>
      <sheetName val="таблицы"/>
      <sheetName val="Лист2"/>
      <sheetName val="Лист в полный отчет 5 месяцев 2"/>
    </sheetNames>
    <definedNames>
      <definedName name="as"/>
      <definedName name="CompOt"/>
      <definedName name="CompRas"/>
      <definedName name="compras1"/>
      <definedName name="ddd"/>
      <definedName name="det"/>
      <definedName name="ew"/>
      <definedName name="F"/>
      <definedName name="fg"/>
      <definedName name="k"/>
      <definedName name="Njkf"/>
      <definedName name="АААААААА"/>
      <definedName name="ам"/>
      <definedName name="ап"/>
      <definedName name="апп"/>
      <definedName name="ас"/>
      <definedName name="баланс"/>
      <definedName name="БО5"/>
      <definedName name="в"/>
      <definedName name="в23ё"/>
      <definedName name="вв"/>
      <definedName name="гульсум"/>
      <definedName name="е"/>
      <definedName name="знач"/>
      <definedName name="й"/>
      <definedName name="йй"/>
      <definedName name="кассовый"/>
      <definedName name="ке"/>
      <definedName name="копия"/>
      <definedName name="КТЖ"/>
      <definedName name="л"/>
      <definedName name="Макрос1"/>
      <definedName name="мым"/>
      <definedName name="о"/>
      <definedName name="Подготовка_к_печати_и_сохранение0710"/>
      <definedName name="пол"/>
      <definedName name="ппп"/>
      <definedName name="пппп"/>
      <definedName name="пр"/>
      <definedName name="рп"/>
      <definedName name="рррр"/>
      <definedName name="с"/>
      <definedName name="Свод"/>
      <definedName name="Сводный_баланс_н_п_с"/>
      <definedName name="сс"/>
      <definedName name="сссс"/>
      <definedName name="ссы"/>
      <definedName name="у"/>
      <definedName name="ук"/>
      <definedName name="Флажок16_Щелкнуть"/>
      <definedName name="ц"/>
      <definedName name="цу"/>
      <definedName name="цц"/>
      <definedName name="шщрзгшрз"/>
      <definedName name="щ"/>
      <definedName name="ътх"/>
      <definedName name="ыв"/>
      <definedName name="ып"/>
      <definedName name="ыыыы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F0121-ACB5-4039-9406-207897078B07}">
  <dimension ref="A1:BX445"/>
  <sheetViews>
    <sheetView tabSelected="1" view="pageBreakPreview" zoomScale="77" zoomScaleNormal="70" zoomScaleSheetLayoutView="77" workbookViewId="0">
      <pane xSplit="3" ySplit="8" topLeftCell="D402" activePane="bottomRight" state="frozen"/>
      <selection pane="topRight" activeCell="D1" sqref="D1"/>
      <selection pane="bottomLeft" activeCell="A9" sqref="A9"/>
      <selection pane="bottomRight" activeCell="J446" sqref="J446"/>
    </sheetView>
  </sheetViews>
  <sheetFormatPr defaultRowHeight="12.75" outlineLevelRow="1" outlineLevelCol="2" x14ac:dyDescent="0.25"/>
  <cols>
    <col min="1" max="1" width="3.42578125" style="1" customWidth="1"/>
    <col min="2" max="2" width="39" style="2" customWidth="1"/>
    <col min="3" max="3" width="15.7109375" style="2" customWidth="1"/>
    <col min="4" max="4" width="11.5703125" style="2" customWidth="1"/>
    <col min="5" max="5" width="10" style="3" customWidth="1"/>
    <col min="6" max="6" width="10.28515625" style="3" customWidth="1"/>
    <col min="7" max="7" width="7.42578125" style="4" customWidth="1"/>
    <col min="8" max="8" width="6.7109375" style="5" customWidth="1"/>
    <col min="9" max="9" width="10.140625" style="3" customWidth="1"/>
    <col min="10" max="10" width="10.42578125" style="3" customWidth="1"/>
    <col min="11" max="11" width="19.28515625" style="6" customWidth="1"/>
    <col min="12" max="12" width="16.42578125" style="2" customWidth="1"/>
    <col min="13" max="13" width="8.42578125" style="4" customWidth="1"/>
    <col min="14" max="15" width="16.140625" style="7" hidden="1" customWidth="1" outlineLevel="1"/>
    <col min="16" max="16" width="16.140625" style="7" bestFit="1" customWidth="1" collapsed="1"/>
    <col min="17" max="17" width="16" style="7" customWidth="1"/>
    <col min="18" max="18" width="8.85546875" style="8" customWidth="1"/>
    <col min="19" max="19" width="5.85546875" style="5" customWidth="1"/>
    <col min="20" max="21" width="9.28515625" style="3" hidden="1" customWidth="1" outlineLevel="2"/>
    <col min="22" max="22" width="4.140625" style="3" hidden="1" customWidth="1" outlineLevel="2"/>
    <col min="23" max="24" width="9.28515625" style="3" hidden="1" customWidth="1" outlineLevel="2"/>
    <col min="25" max="25" width="4.140625" style="3" hidden="1" customWidth="1" outlineLevel="2"/>
    <col min="26" max="26" width="9.140625" style="3" customWidth="1" outlineLevel="1" collapsed="1"/>
    <col min="27" max="27" width="9.140625" style="3" customWidth="1" outlineLevel="1"/>
    <col min="28" max="28" width="4.28515625" style="3" customWidth="1" outlineLevel="1"/>
    <col min="29" max="29" width="10.28515625" style="3" customWidth="1" outlineLevel="1"/>
    <col min="30" max="30" width="10" style="3" customWidth="1" outlineLevel="1"/>
    <col min="31" max="31" width="5.42578125" style="3" customWidth="1" outlineLevel="1"/>
    <col min="32" max="33" width="10" style="3" customWidth="1" outlineLevel="1"/>
    <col min="34" max="34" width="5.42578125" style="3" customWidth="1" outlineLevel="1"/>
    <col min="35" max="36" width="10.28515625" style="3" bestFit="1" customWidth="1"/>
    <col min="37" max="37" width="7.28515625" style="3" customWidth="1"/>
    <col min="38" max="38" width="10" style="3" bestFit="1" customWidth="1"/>
    <col min="39" max="39" width="10" style="5" bestFit="1" customWidth="1"/>
    <col min="40" max="40" width="6.7109375" style="3" customWidth="1"/>
    <col min="41" max="42" width="11" style="9" bestFit="1" customWidth="1"/>
    <col min="43" max="43" width="7.140625" style="9" customWidth="1"/>
    <col min="44" max="44" width="7.28515625" style="1" customWidth="1"/>
    <col min="45" max="45" width="12.42578125" style="10" customWidth="1"/>
    <col min="46" max="46" width="13" style="10" customWidth="1"/>
    <col min="47" max="47" width="10.42578125" style="10" customWidth="1"/>
    <col min="48" max="49" width="10" style="5" hidden="1" customWidth="1" outlineLevel="1"/>
    <col min="50" max="50" width="7.140625" style="5" hidden="1" customWidth="1" outlineLevel="1"/>
    <col min="51" max="51" width="10.5703125" style="5" customWidth="1" collapsed="1"/>
    <col min="52" max="52" width="11.140625" style="5" customWidth="1"/>
    <col min="53" max="53" width="13.5703125" style="5" hidden="1" customWidth="1" outlineLevel="1"/>
    <col min="54" max="54" width="11" style="5" customWidth="1" collapsed="1"/>
    <col min="55" max="55" width="13" style="5" hidden="1" customWidth="1" outlineLevel="1"/>
    <col min="56" max="57" width="11.7109375" style="5" hidden="1" customWidth="1" outlineLevel="1"/>
    <col min="58" max="58" width="10.7109375" style="5" customWidth="1" collapsed="1"/>
    <col min="59" max="59" width="14.85546875" style="5" hidden="1" customWidth="1" outlineLevel="1"/>
    <col min="60" max="60" width="12.5703125" style="5" hidden="1" customWidth="1" outlineLevel="1"/>
    <col min="61" max="61" width="10.5703125" style="5" hidden="1" customWidth="1" outlineLevel="1"/>
    <col min="62" max="62" width="11.5703125" style="5" hidden="1" customWidth="1" outlineLevel="1"/>
    <col min="63" max="63" width="15.28515625" style="5" customWidth="1" collapsed="1"/>
    <col min="64" max="64" width="10.42578125" style="5" customWidth="1"/>
    <col min="65" max="65" width="17.42578125" style="1" customWidth="1"/>
    <col min="66" max="66" width="12" style="1" hidden="1" customWidth="1" outlineLevel="1"/>
    <col min="67" max="67" width="17.85546875" style="1" hidden="1" customWidth="1" outlineLevel="1"/>
    <col min="68" max="68" width="23.28515625" style="1" hidden="1" customWidth="1" outlineLevel="1"/>
    <col min="69" max="69" width="18.42578125" style="1" hidden="1" customWidth="1" outlineLevel="1"/>
    <col min="70" max="70" width="11.28515625" style="1" hidden="1" customWidth="1" outlineLevel="1"/>
    <col min="71" max="71" width="11.140625" style="1" hidden="1" customWidth="1" outlineLevel="1"/>
    <col min="72" max="72" width="11.42578125" style="1" hidden="1" customWidth="1" outlineLevel="1"/>
    <col min="73" max="73" width="13.7109375" style="1" hidden="1" customWidth="1" outlineLevel="1"/>
    <col min="74" max="74" width="12.42578125" style="1" hidden="1" customWidth="1" outlineLevel="1"/>
    <col min="75" max="75" width="24.42578125" style="1" customWidth="1" collapsed="1"/>
    <col min="76" max="76" width="17.140625" style="12" customWidth="1"/>
    <col min="77" max="16384" width="9.140625" style="1"/>
  </cols>
  <sheetData>
    <row r="1" spans="1:76" ht="16.5" customHeight="1" x14ac:dyDescent="0.25">
      <c r="BL1" s="11" t="s">
        <v>0</v>
      </c>
    </row>
    <row r="2" spans="1:76" s="13" customFormat="1" ht="42" customHeight="1" x14ac:dyDescent="0.25">
      <c r="B2" s="14"/>
      <c r="C2" s="14"/>
      <c r="E2" s="533" t="s">
        <v>1</v>
      </c>
      <c r="F2" s="533"/>
      <c r="G2" s="533"/>
      <c r="H2" s="533"/>
      <c r="I2" s="533"/>
      <c r="J2" s="533"/>
      <c r="K2" s="533"/>
      <c r="L2" s="533"/>
      <c r="M2" s="533"/>
      <c r="N2" s="533"/>
      <c r="O2" s="533"/>
      <c r="P2" s="533"/>
      <c r="Q2" s="533"/>
      <c r="R2" s="533"/>
      <c r="S2" s="533"/>
      <c r="T2" s="15"/>
      <c r="U2" s="15"/>
      <c r="V2" s="15"/>
      <c r="W2" s="15"/>
      <c r="X2" s="15"/>
      <c r="Y2" s="15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7"/>
      <c r="AN2" s="16"/>
      <c r="AO2" s="18"/>
      <c r="AP2" s="18"/>
      <c r="AQ2" s="18"/>
      <c r="AR2" s="19"/>
      <c r="AS2" s="20"/>
      <c r="AT2" s="20"/>
      <c r="AU2" s="20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1" t="s">
        <v>2</v>
      </c>
      <c r="BM2" s="19"/>
      <c r="BN2" s="19"/>
      <c r="BO2" s="19"/>
      <c r="BP2" s="19"/>
      <c r="BQ2" s="19"/>
      <c r="BR2" s="19"/>
      <c r="BS2" s="19"/>
      <c r="BT2" s="19"/>
      <c r="BX2" s="12"/>
    </row>
    <row r="3" spans="1:76" ht="29.25" customHeight="1" x14ac:dyDescent="0.25">
      <c r="BC3" s="21"/>
      <c r="BF3" s="21"/>
      <c r="BM3" s="22" t="s">
        <v>3</v>
      </c>
      <c r="BT3" s="22"/>
    </row>
    <row r="4" spans="1:76" ht="28.5" customHeight="1" x14ac:dyDescent="0.25">
      <c r="A4" s="534" t="s">
        <v>4</v>
      </c>
      <c r="B4" s="535" t="s">
        <v>5</v>
      </c>
      <c r="C4" s="535" t="s">
        <v>6</v>
      </c>
      <c r="D4" s="535" t="s">
        <v>7</v>
      </c>
      <c r="E4" s="512" t="s">
        <v>8</v>
      </c>
      <c r="F4" s="512"/>
      <c r="G4" s="512"/>
      <c r="H4" s="512"/>
      <c r="I4" s="512"/>
      <c r="J4" s="512"/>
      <c r="K4" s="512" t="s">
        <v>9</v>
      </c>
      <c r="L4" s="512"/>
      <c r="M4" s="512"/>
      <c r="N4" s="512"/>
      <c r="O4" s="512"/>
      <c r="P4" s="512"/>
      <c r="Q4" s="512"/>
      <c r="R4" s="512"/>
      <c r="S4" s="512"/>
      <c r="T4" s="530" t="s">
        <v>10</v>
      </c>
      <c r="U4" s="531"/>
      <c r="V4" s="531"/>
      <c r="W4" s="531"/>
      <c r="X4" s="531"/>
      <c r="Y4" s="531"/>
      <c r="Z4" s="531"/>
      <c r="AA4" s="531"/>
      <c r="AB4" s="531"/>
      <c r="AC4" s="531"/>
      <c r="AD4" s="531"/>
      <c r="AE4" s="531"/>
      <c r="AF4" s="531"/>
      <c r="AG4" s="531"/>
      <c r="AH4" s="532"/>
      <c r="AI4" s="512" t="s">
        <v>11</v>
      </c>
      <c r="AJ4" s="512"/>
      <c r="AK4" s="512"/>
      <c r="AL4" s="512"/>
      <c r="AM4" s="512"/>
      <c r="AN4" s="512"/>
      <c r="AO4" s="512"/>
      <c r="AP4" s="512"/>
      <c r="AQ4" s="512"/>
      <c r="AR4" s="512"/>
      <c r="AS4" s="512" t="s">
        <v>12</v>
      </c>
      <c r="AT4" s="512"/>
      <c r="AU4" s="512"/>
      <c r="AV4" s="512" t="s">
        <v>13</v>
      </c>
      <c r="AW4" s="512"/>
      <c r="AX4" s="512"/>
      <c r="AY4" s="512" t="s">
        <v>14</v>
      </c>
      <c r="AZ4" s="512"/>
      <c r="BA4" s="512"/>
      <c r="BB4" s="512"/>
      <c r="BC4" s="512"/>
      <c r="BD4" s="512"/>
      <c r="BE4" s="512"/>
      <c r="BF4" s="512"/>
      <c r="BG4" s="512"/>
      <c r="BH4" s="512"/>
      <c r="BI4" s="512"/>
      <c r="BJ4" s="512"/>
      <c r="BK4" s="512"/>
      <c r="BL4" s="512"/>
      <c r="BM4" s="23" t="s">
        <v>15</v>
      </c>
      <c r="BN4" s="24"/>
      <c r="BO4" s="525" t="s">
        <v>16</v>
      </c>
      <c r="BP4" s="525"/>
      <c r="BQ4" s="525"/>
      <c r="BR4" s="525" t="s">
        <v>17</v>
      </c>
      <c r="BS4" s="525"/>
      <c r="BT4" s="525" t="s">
        <v>18</v>
      </c>
      <c r="BW4" s="25"/>
      <c r="BX4" s="26"/>
    </row>
    <row r="5" spans="1:76" ht="34.5" customHeight="1" x14ac:dyDescent="0.25">
      <c r="A5" s="534"/>
      <c r="B5" s="536"/>
      <c r="C5" s="536"/>
      <c r="D5" s="536"/>
      <c r="E5" s="526" t="s">
        <v>19</v>
      </c>
      <c r="F5" s="526"/>
      <c r="G5" s="526" t="s">
        <v>20</v>
      </c>
      <c r="H5" s="527" t="s">
        <v>21</v>
      </c>
      <c r="I5" s="512" t="s">
        <v>22</v>
      </c>
      <c r="J5" s="512"/>
      <c r="K5" s="512" t="s">
        <v>23</v>
      </c>
      <c r="L5" s="512" t="s">
        <v>24</v>
      </c>
      <c r="M5" s="512" t="s">
        <v>25</v>
      </c>
      <c r="N5" s="521" t="s">
        <v>26</v>
      </c>
      <c r="O5" s="521"/>
      <c r="P5" s="521"/>
      <c r="Q5" s="521"/>
      <c r="R5" s="538" t="s">
        <v>27</v>
      </c>
      <c r="S5" s="512" t="s">
        <v>28</v>
      </c>
      <c r="T5" s="512">
        <v>2014</v>
      </c>
      <c r="U5" s="512"/>
      <c r="V5" s="512"/>
      <c r="W5" s="512">
        <v>2015</v>
      </c>
      <c r="X5" s="512"/>
      <c r="Y5" s="512"/>
      <c r="Z5" s="512">
        <v>2017</v>
      </c>
      <c r="AA5" s="512"/>
      <c r="AB5" s="512"/>
      <c r="AC5" s="512">
        <v>2018</v>
      </c>
      <c r="AD5" s="512"/>
      <c r="AE5" s="512"/>
      <c r="AF5" s="512" t="s">
        <v>29</v>
      </c>
      <c r="AG5" s="512"/>
      <c r="AH5" s="512"/>
      <c r="AI5" s="512" t="s">
        <v>30</v>
      </c>
      <c r="AJ5" s="512"/>
      <c r="AK5" s="512"/>
      <c r="AL5" s="512" t="s">
        <v>31</v>
      </c>
      <c r="AM5" s="512"/>
      <c r="AN5" s="512"/>
      <c r="AO5" s="512" t="s">
        <v>32</v>
      </c>
      <c r="AP5" s="512"/>
      <c r="AQ5" s="512"/>
      <c r="AR5" s="512"/>
      <c r="AS5" s="512"/>
      <c r="AT5" s="512"/>
      <c r="AU5" s="512"/>
      <c r="AV5" s="512"/>
      <c r="AW5" s="512"/>
      <c r="AX5" s="512"/>
      <c r="AY5" s="512" t="s">
        <v>33</v>
      </c>
      <c r="AZ5" s="512" t="s">
        <v>34</v>
      </c>
      <c r="BA5" s="512" t="s">
        <v>35</v>
      </c>
      <c r="BB5" s="512" t="s">
        <v>36</v>
      </c>
      <c r="BC5" s="512" t="s">
        <v>37</v>
      </c>
      <c r="BD5" s="512" t="s">
        <v>38</v>
      </c>
      <c r="BE5" s="512" t="s">
        <v>39</v>
      </c>
      <c r="BF5" s="512" t="s">
        <v>40</v>
      </c>
      <c r="BG5" s="512" t="s">
        <v>41</v>
      </c>
      <c r="BH5" s="512" t="s">
        <v>42</v>
      </c>
      <c r="BI5" s="512" t="s">
        <v>43</v>
      </c>
      <c r="BJ5" s="512" t="s">
        <v>44</v>
      </c>
      <c r="BK5" s="512" t="s">
        <v>45</v>
      </c>
      <c r="BL5" s="512" t="s">
        <v>46</v>
      </c>
      <c r="BM5" s="512" t="s">
        <v>47</v>
      </c>
      <c r="BN5" s="512" t="s">
        <v>48</v>
      </c>
      <c r="BO5" s="512" t="s">
        <v>49</v>
      </c>
      <c r="BP5" s="512" t="s">
        <v>50</v>
      </c>
      <c r="BQ5" s="512" t="s">
        <v>51</v>
      </c>
      <c r="BR5" s="512" t="s">
        <v>52</v>
      </c>
      <c r="BS5" s="512" t="s">
        <v>53</v>
      </c>
      <c r="BT5" s="525"/>
      <c r="BW5" s="25"/>
      <c r="BX5" s="26"/>
    </row>
    <row r="6" spans="1:76" ht="58.5" customHeight="1" x14ac:dyDescent="0.25">
      <c r="A6" s="534"/>
      <c r="B6" s="536"/>
      <c r="C6" s="536"/>
      <c r="D6" s="536"/>
      <c r="E6" s="526"/>
      <c r="F6" s="526"/>
      <c r="G6" s="526"/>
      <c r="H6" s="528"/>
      <c r="I6" s="512"/>
      <c r="J6" s="512"/>
      <c r="K6" s="512"/>
      <c r="L6" s="512"/>
      <c r="M6" s="512"/>
      <c r="N6" s="521" t="s">
        <v>54</v>
      </c>
      <c r="O6" s="521"/>
      <c r="P6" s="521" t="s">
        <v>55</v>
      </c>
      <c r="Q6" s="521"/>
      <c r="R6" s="539"/>
      <c r="S6" s="512"/>
      <c r="T6" s="512" t="s">
        <v>56</v>
      </c>
      <c r="U6" s="512"/>
      <c r="V6" s="512" t="s">
        <v>57</v>
      </c>
      <c r="W6" s="512" t="s">
        <v>56</v>
      </c>
      <c r="X6" s="512"/>
      <c r="Y6" s="512" t="s">
        <v>57</v>
      </c>
      <c r="Z6" s="512" t="s">
        <v>56</v>
      </c>
      <c r="AA6" s="512"/>
      <c r="AB6" s="512" t="s">
        <v>57</v>
      </c>
      <c r="AC6" s="512" t="s">
        <v>56</v>
      </c>
      <c r="AD6" s="512"/>
      <c r="AE6" s="512" t="s">
        <v>57</v>
      </c>
      <c r="AF6" s="512" t="s">
        <v>56</v>
      </c>
      <c r="AG6" s="512"/>
      <c r="AH6" s="512" t="s">
        <v>57</v>
      </c>
      <c r="AI6" s="512" t="s">
        <v>56</v>
      </c>
      <c r="AJ6" s="512"/>
      <c r="AK6" s="512" t="s">
        <v>57</v>
      </c>
      <c r="AL6" s="512" t="s">
        <v>56</v>
      </c>
      <c r="AM6" s="512"/>
      <c r="AN6" s="512" t="s">
        <v>57</v>
      </c>
      <c r="AO6" s="522" t="s">
        <v>56</v>
      </c>
      <c r="AP6" s="522"/>
      <c r="AQ6" s="523" t="s">
        <v>57</v>
      </c>
      <c r="AR6" s="512" t="s">
        <v>58</v>
      </c>
      <c r="AS6" s="512" t="s">
        <v>59</v>
      </c>
      <c r="AT6" s="512" t="s">
        <v>60</v>
      </c>
      <c r="AU6" s="512" t="s">
        <v>61</v>
      </c>
      <c r="AV6" s="512" t="s">
        <v>56</v>
      </c>
      <c r="AW6" s="512"/>
      <c r="AX6" s="512" t="s">
        <v>57</v>
      </c>
      <c r="AY6" s="512"/>
      <c r="AZ6" s="512"/>
      <c r="BA6" s="512"/>
      <c r="BB6" s="512"/>
      <c r="BC6" s="512"/>
      <c r="BD6" s="512"/>
      <c r="BE6" s="512"/>
      <c r="BF6" s="512"/>
      <c r="BG6" s="512"/>
      <c r="BH6" s="512"/>
      <c r="BI6" s="512"/>
      <c r="BJ6" s="512"/>
      <c r="BK6" s="512"/>
      <c r="BL6" s="512"/>
      <c r="BM6" s="512"/>
      <c r="BN6" s="512"/>
      <c r="BO6" s="512"/>
      <c r="BP6" s="512"/>
      <c r="BQ6" s="512"/>
      <c r="BR6" s="512"/>
      <c r="BS6" s="512"/>
      <c r="BT6" s="525"/>
      <c r="BW6" s="25"/>
      <c r="BX6" s="26"/>
    </row>
    <row r="7" spans="1:76" x14ac:dyDescent="0.25">
      <c r="A7" s="534"/>
      <c r="B7" s="537"/>
      <c r="C7" s="537"/>
      <c r="D7" s="537"/>
      <c r="E7" s="27" t="s">
        <v>62</v>
      </c>
      <c r="F7" s="27" t="s">
        <v>63</v>
      </c>
      <c r="G7" s="526"/>
      <c r="H7" s="529"/>
      <c r="I7" s="27" t="s">
        <v>62</v>
      </c>
      <c r="J7" s="27" t="s">
        <v>63</v>
      </c>
      <c r="K7" s="512"/>
      <c r="L7" s="512"/>
      <c r="M7" s="512"/>
      <c r="N7" s="28" t="s">
        <v>62</v>
      </c>
      <c r="O7" s="28" t="s">
        <v>63</v>
      </c>
      <c r="P7" s="28" t="s">
        <v>62</v>
      </c>
      <c r="Q7" s="28" t="s">
        <v>63</v>
      </c>
      <c r="R7" s="540"/>
      <c r="S7" s="512"/>
      <c r="T7" s="29" t="s">
        <v>62</v>
      </c>
      <c r="U7" s="29" t="s">
        <v>63</v>
      </c>
      <c r="V7" s="512"/>
      <c r="W7" s="29" t="s">
        <v>62</v>
      </c>
      <c r="X7" s="29" t="s">
        <v>63</v>
      </c>
      <c r="Y7" s="512"/>
      <c r="Z7" s="29" t="s">
        <v>62</v>
      </c>
      <c r="AA7" s="29" t="s">
        <v>63</v>
      </c>
      <c r="AB7" s="512"/>
      <c r="AC7" s="29" t="s">
        <v>62</v>
      </c>
      <c r="AD7" s="29" t="s">
        <v>63</v>
      </c>
      <c r="AE7" s="512"/>
      <c r="AF7" s="29" t="s">
        <v>62</v>
      </c>
      <c r="AG7" s="29" t="s">
        <v>63</v>
      </c>
      <c r="AH7" s="512"/>
      <c r="AI7" s="27" t="s">
        <v>62</v>
      </c>
      <c r="AJ7" s="27" t="s">
        <v>63</v>
      </c>
      <c r="AK7" s="512"/>
      <c r="AL7" s="27" t="s">
        <v>62</v>
      </c>
      <c r="AM7" s="27" t="s">
        <v>63</v>
      </c>
      <c r="AN7" s="512"/>
      <c r="AO7" s="30" t="s">
        <v>62</v>
      </c>
      <c r="AP7" s="30" t="s">
        <v>63</v>
      </c>
      <c r="AQ7" s="524"/>
      <c r="AR7" s="512"/>
      <c r="AS7" s="512"/>
      <c r="AT7" s="512"/>
      <c r="AU7" s="512"/>
      <c r="AV7" s="27" t="s">
        <v>62</v>
      </c>
      <c r="AW7" s="27" t="s">
        <v>63</v>
      </c>
      <c r="AX7" s="512"/>
      <c r="AY7" s="31" t="s">
        <v>64</v>
      </c>
      <c r="AZ7" s="31" t="s">
        <v>64</v>
      </c>
      <c r="BA7" s="31" t="s">
        <v>65</v>
      </c>
      <c r="BB7" s="31" t="s">
        <v>65</v>
      </c>
      <c r="BC7" s="31" t="s">
        <v>65</v>
      </c>
      <c r="BD7" s="31" t="s">
        <v>65</v>
      </c>
      <c r="BE7" s="31" t="s">
        <v>65</v>
      </c>
      <c r="BF7" s="31" t="s">
        <v>66</v>
      </c>
      <c r="BG7" s="31" t="s">
        <v>66</v>
      </c>
      <c r="BH7" s="31" t="s">
        <v>66</v>
      </c>
      <c r="BI7" s="31" t="s">
        <v>65</v>
      </c>
      <c r="BJ7" s="31" t="s">
        <v>65</v>
      </c>
      <c r="BK7" s="31" t="s">
        <v>65</v>
      </c>
      <c r="BL7" s="31" t="s">
        <v>67</v>
      </c>
      <c r="BM7" s="512"/>
      <c r="BN7" s="512"/>
      <c r="BO7" s="512"/>
      <c r="BP7" s="512"/>
      <c r="BQ7" s="512"/>
      <c r="BR7" s="512"/>
      <c r="BS7" s="512"/>
      <c r="BT7" s="525"/>
      <c r="BW7" s="25"/>
      <c r="BX7" s="26"/>
    </row>
    <row r="8" spans="1:76" s="4" customFormat="1" x14ac:dyDescent="0.25">
      <c r="A8" s="32">
        <v>1</v>
      </c>
      <c r="B8" s="32">
        <v>2</v>
      </c>
      <c r="C8" s="32">
        <v>3</v>
      </c>
      <c r="D8" s="32">
        <v>4</v>
      </c>
      <c r="E8" s="33">
        <v>5</v>
      </c>
      <c r="F8" s="33">
        <v>6</v>
      </c>
      <c r="G8" s="32">
        <v>7</v>
      </c>
      <c r="H8" s="33">
        <v>8</v>
      </c>
      <c r="I8" s="33">
        <v>9</v>
      </c>
      <c r="J8" s="33">
        <v>10</v>
      </c>
      <c r="K8" s="34">
        <v>11</v>
      </c>
      <c r="L8" s="32">
        <v>12</v>
      </c>
      <c r="M8" s="32">
        <v>13</v>
      </c>
      <c r="N8" s="35">
        <v>14</v>
      </c>
      <c r="O8" s="35">
        <v>15</v>
      </c>
      <c r="P8" s="33">
        <v>16</v>
      </c>
      <c r="Q8" s="33">
        <v>17</v>
      </c>
      <c r="R8" s="36">
        <v>18</v>
      </c>
      <c r="S8" s="33">
        <v>19</v>
      </c>
      <c r="T8" s="33">
        <v>20</v>
      </c>
      <c r="U8" s="33">
        <v>21</v>
      </c>
      <c r="V8" s="33">
        <v>22</v>
      </c>
      <c r="W8" s="33">
        <v>23</v>
      </c>
      <c r="X8" s="33">
        <v>24</v>
      </c>
      <c r="Y8" s="33">
        <v>25</v>
      </c>
      <c r="Z8" s="33">
        <v>26</v>
      </c>
      <c r="AA8" s="33">
        <v>27</v>
      </c>
      <c r="AB8" s="33">
        <v>28</v>
      </c>
      <c r="AC8" s="33">
        <v>29</v>
      </c>
      <c r="AD8" s="33">
        <v>30</v>
      </c>
      <c r="AE8" s="33">
        <v>31</v>
      </c>
      <c r="AF8" s="33">
        <v>32</v>
      </c>
      <c r="AG8" s="33">
        <v>33</v>
      </c>
      <c r="AH8" s="33">
        <v>34</v>
      </c>
      <c r="AI8" s="33">
        <v>35</v>
      </c>
      <c r="AJ8" s="33">
        <v>36</v>
      </c>
      <c r="AK8" s="33">
        <v>37</v>
      </c>
      <c r="AL8" s="33">
        <v>40</v>
      </c>
      <c r="AM8" s="33">
        <v>41</v>
      </c>
      <c r="AN8" s="33">
        <v>42</v>
      </c>
      <c r="AO8" s="37">
        <v>43</v>
      </c>
      <c r="AP8" s="37">
        <v>44</v>
      </c>
      <c r="AQ8" s="37">
        <v>45</v>
      </c>
      <c r="AR8" s="32">
        <v>46</v>
      </c>
      <c r="AS8" s="32">
        <v>47</v>
      </c>
      <c r="AT8" s="32">
        <v>48</v>
      </c>
      <c r="AU8" s="32">
        <v>49</v>
      </c>
      <c r="AV8" s="33">
        <v>50</v>
      </c>
      <c r="AW8" s="33">
        <v>51</v>
      </c>
      <c r="AX8" s="33">
        <v>52</v>
      </c>
      <c r="AY8" s="33">
        <v>53</v>
      </c>
      <c r="AZ8" s="33">
        <v>54</v>
      </c>
      <c r="BA8" s="33">
        <v>55</v>
      </c>
      <c r="BB8" s="33">
        <v>56</v>
      </c>
      <c r="BC8" s="33">
        <v>57</v>
      </c>
      <c r="BD8" s="33">
        <v>58</v>
      </c>
      <c r="BE8" s="33">
        <v>59</v>
      </c>
      <c r="BF8" s="33">
        <v>60</v>
      </c>
      <c r="BG8" s="33">
        <v>61</v>
      </c>
      <c r="BH8" s="33">
        <v>62</v>
      </c>
      <c r="BI8" s="33">
        <v>63</v>
      </c>
      <c r="BJ8" s="33">
        <v>64</v>
      </c>
      <c r="BK8" s="33">
        <v>65</v>
      </c>
      <c r="BL8" s="33">
        <v>66</v>
      </c>
      <c r="BM8" s="32">
        <v>67</v>
      </c>
      <c r="BN8" s="32">
        <v>69</v>
      </c>
      <c r="BO8" s="32">
        <v>70</v>
      </c>
      <c r="BP8" s="32">
        <v>71</v>
      </c>
      <c r="BQ8" s="32">
        <v>72</v>
      </c>
      <c r="BR8" s="32">
        <v>73</v>
      </c>
      <c r="BS8" s="32">
        <v>74</v>
      </c>
      <c r="BT8" s="32">
        <v>75</v>
      </c>
      <c r="BW8" s="32"/>
      <c r="BX8" s="38"/>
    </row>
    <row r="9" spans="1:76" s="46" customFormat="1" x14ac:dyDescent="0.25">
      <c r="A9" s="513"/>
      <c r="B9" s="516" t="s">
        <v>68</v>
      </c>
      <c r="C9" s="39" t="s">
        <v>69</v>
      </c>
      <c r="D9" s="39" t="s">
        <v>70</v>
      </c>
      <c r="E9" s="40">
        <f>E13+E411</f>
        <v>34052553</v>
      </c>
      <c r="F9" s="40">
        <f>F13+F411</f>
        <v>38138859.360000014</v>
      </c>
      <c r="G9" s="41"/>
      <c r="H9" s="40"/>
      <c r="I9" s="40">
        <f>I13+I411</f>
        <v>17152628</v>
      </c>
      <c r="J9" s="40">
        <f>J13+J411</f>
        <v>19210943.360000003</v>
      </c>
      <c r="K9" s="42"/>
      <c r="L9" s="41"/>
      <c r="M9" s="41"/>
      <c r="N9" s="43">
        <f>N13+N411</f>
        <v>17294313678.095715</v>
      </c>
      <c r="O9" s="43">
        <f>O13+O411</f>
        <v>19336801606.539993</v>
      </c>
      <c r="P9" s="43">
        <f>P13+P411</f>
        <v>18467975921.135715</v>
      </c>
      <c r="Q9" s="43">
        <f>Q13+Q411</f>
        <v>20510463849.579994</v>
      </c>
      <c r="R9" s="41"/>
      <c r="S9" s="40"/>
      <c r="T9" s="40" t="e">
        <f>T13+T411</f>
        <v>#REF!</v>
      </c>
      <c r="U9" s="40" t="e">
        <f>U13+U411</f>
        <v>#REF!</v>
      </c>
      <c r="V9" s="40"/>
      <c r="W9" s="40" t="e">
        <f>W13+W411</f>
        <v>#REF!</v>
      </c>
      <c r="X9" s="40" t="e">
        <f>X13+X411</f>
        <v>#REF!</v>
      </c>
      <c r="Y9" s="40"/>
      <c r="Z9" s="40">
        <f>Z13+Z411</f>
        <v>0</v>
      </c>
      <c r="AA9" s="40">
        <f>AA13+AA411</f>
        <v>0</v>
      </c>
      <c r="AB9" s="40"/>
      <c r="AC9" s="40">
        <f>AC13+AC411</f>
        <v>11036700</v>
      </c>
      <c r="AD9" s="40">
        <f>AD13+AD411</f>
        <v>12361104</v>
      </c>
      <c r="AE9" s="40"/>
      <c r="AF9" s="40">
        <f>AF13+AF411</f>
        <v>11036700</v>
      </c>
      <c r="AG9" s="40">
        <f>AG13+AG411</f>
        <v>12361104</v>
      </c>
      <c r="AH9" s="40"/>
      <c r="AI9" s="40">
        <f>AI13+AI411</f>
        <v>17152628</v>
      </c>
      <c r="AJ9" s="40">
        <f>AJ13+AJ411</f>
        <v>19210943.360000003</v>
      </c>
      <c r="AK9" s="40"/>
      <c r="AL9" s="40">
        <f>AL13+AL411</f>
        <v>8358098</v>
      </c>
      <c r="AM9" s="40">
        <f>AM13+AM411</f>
        <v>9361069.7600000016</v>
      </c>
      <c r="AN9" s="40"/>
      <c r="AO9" s="40">
        <f>AO13+AO411</f>
        <v>-8794530.0000000019</v>
      </c>
      <c r="AP9" s="40">
        <f>AP13+AP411</f>
        <v>-9849873.5999999996</v>
      </c>
      <c r="AQ9" s="40"/>
      <c r="AR9" s="44">
        <f>IF(AI9=0,"",AL9/AI9)</f>
        <v>0.48727798445812504</v>
      </c>
      <c r="AS9" s="41">
        <f>AS13+AS411</f>
        <v>0</v>
      </c>
      <c r="AT9" s="41">
        <f>AT13+AT411</f>
        <v>0</v>
      </c>
      <c r="AU9" s="41">
        <f>AU13+AU411</f>
        <v>0</v>
      </c>
      <c r="AV9" s="40">
        <f>AV13+AV411</f>
        <v>43932926.265714288</v>
      </c>
      <c r="AW9" s="40">
        <f>AW13+AW411</f>
        <v>49204877.417600006</v>
      </c>
      <c r="AX9" s="40"/>
      <c r="AY9" s="40">
        <f t="shared" ref="AY9:BL9" si="0">AY13+AY411</f>
        <v>0</v>
      </c>
      <c r="AZ9" s="40">
        <f t="shared" si="0"/>
        <v>-8850611.200000003</v>
      </c>
      <c r="BA9" s="40">
        <f t="shared" si="0"/>
        <v>0</v>
      </c>
      <c r="BB9" s="40">
        <f t="shared" si="0"/>
        <v>0</v>
      </c>
      <c r="BC9" s="40">
        <f t="shared" si="0"/>
        <v>0</v>
      </c>
      <c r="BD9" s="40">
        <f t="shared" si="0"/>
        <v>0</v>
      </c>
      <c r="BE9" s="40">
        <f t="shared" si="0"/>
        <v>0</v>
      </c>
      <c r="BF9" s="40">
        <f t="shared" si="0"/>
        <v>0</v>
      </c>
      <c r="BG9" s="40">
        <f t="shared" si="0"/>
        <v>0</v>
      </c>
      <c r="BH9" s="40">
        <f t="shared" si="0"/>
        <v>0</v>
      </c>
      <c r="BI9" s="40">
        <f t="shared" si="0"/>
        <v>0</v>
      </c>
      <c r="BJ9" s="40">
        <f t="shared" si="0"/>
        <v>0</v>
      </c>
      <c r="BK9" s="40">
        <f t="shared" si="0"/>
        <v>0</v>
      </c>
      <c r="BL9" s="40">
        <f t="shared" si="0"/>
        <v>56081.199999999983</v>
      </c>
      <c r="BM9" s="41"/>
      <c r="BN9" s="41" t="e">
        <f>BN13+BN411</f>
        <v>#REF!</v>
      </c>
      <c r="BO9" s="40" t="e">
        <f>BO13+BO411</f>
        <v>#REF!</v>
      </c>
      <c r="BP9" s="40" t="e">
        <f>BP13+BP411</f>
        <v>#REF!</v>
      </c>
      <c r="BQ9" s="40" t="e">
        <f>BQ13+BQ411</f>
        <v>#REF!</v>
      </c>
      <c r="BR9" s="45"/>
      <c r="BS9" s="45"/>
      <c r="BT9" s="45"/>
      <c r="BW9" s="47">
        <f>SUM(AY9:BL9)</f>
        <v>-8794530.0000000037</v>
      </c>
      <c r="BX9" s="48">
        <f>AO9-BW9</f>
        <v>0</v>
      </c>
    </row>
    <row r="10" spans="1:76" s="46" customFormat="1" x14ac:dyDescent="0.25">
      <c r="A10" s="514"/>
      <c r="B10" s="517"/>
      <c r="C10" s="39" t="s">
        <v>71</v>
      </c>
      <c r="D10" s="39" t="s">
        <v>72</v>
      </c>
      <c r="E10" s="40">
        <f>SUM(E11:E12)</f>
        <v>33923348</v>
      </c>
      <c r="F10" s="40">
        <f t="shared" ref="F10:BQ10" si="1">SUM(F11:F12)</f>
        <v>37994149.760000013</v>
      </c>
      <c r="G10" s="41"/>
      <c r="H10" s="40"/>
      <c r="I10" s="40">
        <f t="shared" si="1"/>
        <v>16538898.321428571</v>
      </c>
      <c r="J10" s="40">
        <f t="shared" si="1"/>
        <v>18523566.120000001</v>
      </c>
      <c r="K10" s="42"/>
      <c r="L10" s="41"/>
      <c r="M10" s="41"/>
      <c r="N10" s="43">
        <f t="shared" si="1"/>
        <v>17294313678.095715</v>
      </c>
      <c r="O10" s="43">
        <f t="shared" si="1"/>
        <v>19336801606.539993</v>
      </c>
      <c r="P10" s="43">
        <f t="shared" si="1"/>
        <v>18467975921.135715</v>
      </c>
      <c r="Q10" s="43">
        <f t="shared" si="1"/>
        <v>20510463849.579994</v>
      </c>
      <c r="R10" s="41"/>
      <c r="S10" s="40"/>
      <c r="T10" s="40" t="e">
        <f t="shared" ref="T10:U10" si="2">SUM(T11:T12)</f>
        <v>#REF!</v>
      </c>
      <c r="U10" s="40" t="e">
        <f t="shared" si="2"/>
        <v>#REF!</v>
      </c>
      <c r="V10" s="40"/>
      <c r="W10" s="40" t="e">
        <f t="shared" ref="W10:X10" si="3">SUM(W11:W12)</f>
        <v>#REF!</v>
      </c>
      <c r="X10" s="40" t="e">
        <f t="shared" si="3"/>
        <v>#REF!</v>
      </c>
      <c r="Y10" s="40"/>
      <c r="Z10" s="40">
        <f t="shared" si="1"/>
        <v>0</v>
      </c>
      <c r="AA10" s="40">
        <f t="shared" si="1"/>
        <v>0</v>
      </c>
      <c r="AB10" s="40"/>
      <c r="AC10" s="40">
        <f t="shared" si="1"/>
        <v>7721782.1308753565</v>
      </c>
      <c r="AD10" s="40">
        <f t="shared" si="1"/>
        <v>8469738.9382999986</v>
      </c>
      <c r="AE10" s="40"/>
      <c r="AF10" s="40">
        <f t="shared" si="1"/>
        <v>7721782.1308753565</v>
      </c>
      <c r="AG10" s="40">
        <f t="shared" si="1"/>
        <v>8469738.9382999986</v>
      </c>
      <c r="AH10" s="40"/>
      <c r="AI10" s="40">
        <f t="shared" si="1"/>
        <v>16538898.425098214</v>
      </c>
      <c r="AJ10" s="40">
        <f t="shared" si="1"/>
        <v>18523566.152740002</v>
      </c>
      <c r="AK10" s="40"/>
      <c r="AL10" s="40">
        <f t="shared" si="1"/>
        <v>6219009.1230535721</v>
      </c>
      <c r="AM10" s="40">
        <f t="shared" si="1"/>
        <v>6965290.2178199971</v>
      </c>
      <c r="AN10" s="40"/>
      <c r="AO10" s="40">
        <f t="shared" si="1"/>
        <v>-10319889.302044645</v>
      </c>
      <c r="AP10" s="40">
        <f t="shared" si="1"/>
        <v>-11558275.934920004</v>
      </c>
      <c r="AQ10" s="40"/>
      <c r="AR10" s="49">
        <f t="shared" ref="AR10:AR16" si="4">IF(AI10=0,"",AL10/AI10)</f>
        <v>0.37602317658690387</v>
      </c>
      <c r="AS10" s="41">
        <f t="shared" si="1"/>
        <v>1349922.5250982144</v>
      </c>
      <c r="AT10" s="41">
        <f t="shared" si="1"/>
        <v>4869086.5979553582</v>
      </c>
      <c r="AU10" s="41">
        <f t="shared" si="1"/>
        <v>0</v>
      </c>
      <c r="AV10" s="40">
        <f t="shared" si="1"/>
        <v>25184329.647714287</v>
      </c>
      <c r="AW10" s="40">
        <f t="shared" si="1"/>
        <v>28206448.725440003</v>
      </c>
      <c r="AX10" s="40"/>
      <c r="AY10" s="40">
        <f t="shared" si="1"/>
        <v>0</v>
      </c>
      <c r="AZ10" s="40">
        <f t="shared" si="1"/>
        <v>0</v>
      </c>
      <c r="BA10" s="40">
        <f t="shared" si="1"/>
        <v>0</v>
      </c>
      <c r="BB10" s="40">
        <f t="shared" si="1"/>
        <v>0</v>
      </c>
      <c r="BC10" s="40">
        <f t="shared" si="1"/>
        <v>0</v>
      </c>
      <c r="BD10" s="40">
        <f t="shared" si="1"/>
        <v>0</v>
      </c>
      <c r="BE10" s="40">
        <f t="shared" si="1"/>
        <v>0</v>
      </c>
      <c r="BF10" s="40">
        <f t="shared" si="1"/>
        <v>0</v>
      </c>
      <c r="BG10" s="40">
        <f t="shared" si="1"/>
        <v>0</v>
      </c>
      <c r="BH10" s="40">
        <f t="shared" si="1"/>
        <v>0</v>
      </c>
      <c r="BI10" s="40">
        <f t="shared" si="1"/>
        <v>0</v>
      </c>
      <c r="BJ10" s="40">
        <f t="shared" si="1"/>
        <v>0</v>
      </c>
      <c r="BK10" s="40">
        <f t="shared" si="1"/>
        <v>0</v>
      </c>
      <c r="BL10" s="40">
        <f t="shared" si="1"/>
        <v>0</v>
      </c>
      <c r="BM10" s="41"/>
      <c r="BN10" s="41" t="e">
        <f t="shared" si="1"/>
        <v>#REF!</v>
      </c>
      <c r="BO10" s="40" t="e">
        <f t="shared" si="1"/>
        <v>#REF!</v>
      </c>
      <c r="BP10" s="40" t="e">
        <f t="shared" si="1"/>
        <v>#REF!</v>
      </c>
      <c r="BQ10" s="40" t="e">
        <f t="shared" si="1"/>
        <v>#REF!</v>
      </c>
      <c r="BR10" s="45"/>
      <c r="BS10" s="45"/>
      <c r="BT10" s="45"/>
      <c r="BW10" s="50"/>
      <c r="BX10" s="51"/>
    </row>
    <row r="11" spans="1:76" s="59" customFormat="1" x14ac:dyDescent="0.25">
      <c r="A11" s="514"/>
      <c r="B11" s="517"/>
      <c r="C11" s="519" t="s">
        <v>71</v>
      </c>
      <c r="D11" s="52" t="s">
        <v>73</v>
      </c>
      <c r="E11" s="53">
        <f>E15+E413</f>
        <v>33923348</v>
      </c>
      <c r="F11" s="53">
        <f>F15+F413</f>
        <v>37994149.760000013</v>
      </c>
      <c r="G11" s="54"/>
      <c r="H11" s="53"/>
      <c r="I11" s="53">
        <f>I15+I413</f>
        <v>16538898.321428571</v>
      </c>
      <c r="J11" s="53">
        <f>J15+J413</f>
        <v>18523566.120000001</v>
      </c>
      <c r="K11" s="55"/>
      <c r="L11" s="54"/>
      <c r="M11" s="54"/>
      <c r="N11" s="56">
        <f>N15+N413</f>
        <v>17294313678.095715</v>
      </c>
      <c r="O11" s="56">
        <f>O15+O413</f>
        <v>19336801606.539993</v>
      </c>
      <c r="P11" s="56">
        <f>P15+P413</f>
        <v>18467975921.135715</v>
      </c>
      <c r="Q11" s="56">
        <f>Q15+Q413</f>
        <v>20510463849.579994</v>
      </c>
      <c r="R11" s="54"/>
      <c r="S11" s="53"/>
      <c r="T11" s="53" t="e">
        <f>T15+T413</f>
        <v>#REF!</v>
      </c>
      <c r="U11" s="53" t="e">
        <f>U15+U413</f>
        <v>#REF!</v>
      </c>
      <c r="V11" s="53"/>
      <c r="W11" s="53" t="e">
        <f>W15+W413</f>
        <v>#REF!</v>
      </c>
      <c r="X11" s="53" t="e">
        <f>X15+X413</f>
        <v>#REF!</v>
      </c>
      <c r="Y11" s="53"/>
      <c r="Z11" s="53">
        <f>Z15+Z413</f>
        <v>0</v>
      </c>
      <c r="AA11" s="53">
        <f>AA15+AA413</f>
        <v>0</v>
      </c>
      <c r="AB11" s="53"/>
      <c r="AC11" s="53">
        <f>AC15+AC413</f>
        <v>7721782.1308753565</v>
      </c>
      <c r="AD11" s="53">
        <f>AD15+AD413</f>
        <v>8469738.9382999986</v>
      </c>
      <c r="AE11" s="53"/>
      <c r="AF11" s="53">
        <f>AF15+AF413</f>
        <v>7721782.1308753565</v>
      </c>
      <c r="AG11" s="53">
        <f>AG15+AG413</f>
        <v>8469738.9382999986</v>
      </c>
      <c r="AH11" s="53"/>
      <c r="AI11" s="53">
        <f>AI15+AI413</f>
        <v>16538898.425098214</v>
      </c>
      <c r="AJ11" s="53">
        <f>AJ15+AJ413</f>
        <v>18523566.152740002</v>
      </c>
      <c r="AK11" s="53"/>
      <c r="AL11" s="53">
        <f>AL15+AL413</f>
        <v>6219009.1230535721</v>
      </c>
      <c r="AM11" s="53">
        <f>AM15+AM413</f>
        <v>6965290.2178199971</v>
      </c>
      <c r="AN11" s="53"/>
      <c r="AO11" s="53">
        <f>AO15+AO413</f>
        <v>-10319889.302044645</v>
      </c>
      <c r="AP11" s="53">
        <f>AP15+AP413</f>
        <v>-11558275.934920004</v>
      </c>
      <c r="AQ11" s="53"/>
      <c r="AR11" s="57">
        <f t="shared" si="4"/>
        <v>0.37602317658690387</v>
      </c>
      <c r="AS11" s="54">
        <f>AS15+AS413</f>
        <v>1349922.5250982144</v>
      </c>
      <c r="AT11" s="54">
        <f>AT15+AT413</f>
        <v>4869086.5979553582</v>
      </c>
      <c r="AU11" s="54">
        <f>AU15+AU413</f>
        <v>0</v>
      </c>
      <c r="AV11" s="53">
        <f>AV15+AV413</f>
        <v>25184329.647714287</v>
      </c>
      <c r="AW11" s="53">
        <f>AW15+AW413</f>
        <v>28206448.725440003</v>
      </c>
      <c r="AX11" s="53"/>
      <c r="AY11" s="53">
        <f t="shared" ref="AY11:BL11" si="5">AY15+AY413</f>
        <v>0</v>
      </c>
      <c r="AZ11" s="53">
        <f t="shared" si="5"/>
        <v>0</v>
      </c>
      <c r="BA11" s="53">
        <f t="shared" si="5"/>
        <v>0</v>
      </c>
      <c r="BB11" s="53">
        <f t="shared" si="5"/>
        <v>0</v>
      </c>
      <c r="BC11" s="53">
        <f t="shared" si="5"/>
        <v>0</v>
      </c>
      <c r="BD11" s="53">
        <f t="shared" si="5"/>
        <v>0</v>
      </c>
      <c r="BE11" s="53">
        <f t="shared" si="5"/>
        <v>0</v>
      </c>
      <c r="BF11" s="53">
        <f t="shared" si="5"/>
        <v>0</v>
      </c>
      <c r="BG11" s="53">
        <f t="shared" si="5"/>
        <v>0</v>
      </c>
      <c r="BH11" s="53">
        <f t="shared" si="5"/>
        <v>0</v>
      </c>
      <c r="BI11" s="53">
        <f t="shared" si="5"/>
        <v>0</v>
      </c>
      <c r="BJ11" s="53">
        <f t="shared" si="5"/>
        <v>0</v>
      </c>
      <c r="BK11" s="53">
        <f t="shared" si="5"/>
        <v>0</v>
      </c>
      <c r="BL11" s="53">
        <f t="shared" si="5"/>
        <v>0</v>
      </c>
      <c r="BM11" s="54"/>
      <c r="BN11" s="54" t="e">
        <f>BN15+BN413</f>
        <v>#REF!</v>
      </c>
      <c r="BO11" s="53" t="e">
        <f>BO15+BO413</f>
        <v>#REF!</v>
      </c>
      <c r="BP11" s="53" t="e">
        <f>BP15+BP413</f>
        <v>#REF!</v>
      </c>
      <c r="BQ11" s="53" t="e">
        <f>BQ15+BQ413</f>
        <v>#REF!</v>
      </c>
      <c r="BR11" s="58"/>
      <c r="BS11" s="58"/>
      <c r="BT11" s="58"/>
      <c r="BW11" s="60"/>
      <c r="BX11" s="61"/>
    </row>
    <row r="12" spans="1:76" s="59" customFormat="1" x14ac:dyDescent="0.25">
      <c r="A12" s="515"/>
      <c r="B12" s="518"/>
      <c r="C12" s="520"/>
      <c r="D12" s="52" t="s">
        <v>74</v>
      </c>
      <c r="E12" s="53">
        <f>E16</f>
        <v>0</v>
      </c>
      <c r="F12" s="53">
        <f t="shared" ref="F12:BQ12" si="6">F16</f>
        <v>0</v>
      </c>
      <c r="G12" s="54"/>
      <c r="H12" s="53"/>
      <c r="I12" s="53">
        <f t="shared" si="6"/>
        <v>0</v>
      </c>
      <c r="J12" s="53">
        <f t="shared" si="6"/>
        <v>0</v>
      </c>
      <c r="K12" s="55"/>
      <c r="L12" s="54"/>
      <c r="M12" s="54"/>
      <c r="N12" s="56">
        <f t="shared" si="6"/>
        <v>0</v>
      </c>
      <c r="O12" s="56">
        <f t="shared" si="6"/>
        <v>0</v>
      </c>
      <c r="P12" s="56">
        <f t="shared" si="6"/>
        <v>0</v>
      </c>
      <c r="Q12" s="56">
        <f t="shared" si="6"/>
        <v>0</v>
      </c>
      <c r="R12" s="54"/>
      <c r="S12" s="53"/>
      <c r="T12" s="53">
        <f t="shared" ref="T12:U12" si="7">T16</f>
        <v>0</v>
      </c>
      <c r="U12" s="53">
        <f t="shared" si="7"/>
        <v>0</v>
      </c>
      <c r="V12" s="53"/>
      <c r="W12" s="53">
        <f t="shared" ref="W12:X12" si="8">W16</f>
        <v>0</v>
      </c>
      <c r="X12" s="53">
        <f t="shared" si="8"/>
        <v>0</v>
      </c>
      <c r="Y12" s="53"/>
      <c r="Z12" s="53">
        <f t="shared" si="6"/>
        <v>0</v>
      </c>
      <c r="AA12" s="53">
        <f t="shared" si="6"/>
        <v>0</v>
      </c>
      <c r="AB12" s="53"/>
      <c r="AC12" s="53">
        <f t="shared" si="6"/>
        <v>0</v>
      </c>
      <c r="AD12" s="53">
        <f t="shared" si="6"/>
        <v>0</v>
      </c>
      <c r="AE12" s="53"/>
      <c r="AF12" s="53">
        <f t="shared" si="6"/>
        <v>0</v>
      </c>
      <c r="AG12" s="53">
        <f t="shared" si="6"/>
        <v>0</v>
      </c>
      <c r="AH12" s="53"/>
      <c r="AI12" s="53">
        <f t="shared" si="6"/>
        <v>0</v>
      </c>
      <c r="AJ12" s="53">
        <f t="shared" si="6"/>
        <v>0</v>
      </c>
      <c r="AK12" s="53"/>
      <c r="AL12" s="53">
        <f t="shared" si="6"/>
        <v>0</v>
      </c>
      <c r="AM12" s="53">
        <f t="shared" si="6"/>
        <v>0</v>
      </c>
      <c r="AN12" s="53"/>
      <c r="AO12" s="53">
        <f t="shared" si="6"/>
        <v>0</v>
      </c>
      <c r="AP12" s="53">
        <f t="shared" si="6"/>
        <v>0</v>
      </c>
      <c r="AQ12" s="53"/>
      <c r="AR12" s="57" t="str">
        <f t="shared" si="4"/>
        <v/>
      </c>
      <c r="AS12" s="54">
        <f t="shared" si="6"/>
        <v>0</v>
      </c>
      <c r="AT12" s="54">
        <f t="shared" si="6"/>
        <v>0</v>
      </c>
      <c r="AU12" s="54">
        <f t="shared" si="6"/>
        <v>0</v>
      </c>
      <c r="AV12" s="53">
        <f t="shared" si="6"/>
        <v>0</v>
      </c>
      <c r="AW12" s="53">
        <f t="shared" si="6"/>
        <v>0</v>
      </c>
      <c r="AX12" s="53"/>
      <c r="AY12" s="53">
        <f t="shared" si="6"/>
        <v>0</v>
      </c>
      <c r="AZ12" s="53">
        <f t="shared" si="6"/>
        <v>0</v>
      </c>
      <c r="BA12" s="53">
        <f t="shared" si="6"/>
        <v>0</v>
      </c>
      <c r="BB12" s="53">
        <f t="shared" si="6"/>
        <v>0</v>
      </c>
      <c r="BC12" s="53">
        <f t="shared" si="6"/>
        <v>0</v>
      </c>
      <c r="BD12" s="53">
        <f t="shared" si="6"/>
        <v>0</v>
      </c>
      <c r="BE12" s="53">
        <f t="shared" si="6"/>
        <v>0</v>
      </c>
      <c r="BF12" s="53">
        <f t="shared" si="6"/>
        <v>0</v>
      </c>
      <c r="BG12" s="53">
        <f t="shared" si="6"/>
        <v>0</v>
      </c>
      <c r="BH12" s="53">
        <f t="shared" si="6"/>
        <v>0</v>
      </c>
      <c r="BI12" s="53">
        <f t="shared" si="6"/>
        <v>0</v>
      </c>
      <c r="BJ12" s="53">
        <f t="shared" si="6"/>
        <v>0</v>
      </c>
      <c r="BK12" s="53">
        <f t="shared" si="6"/>
        <v>0</v>
      </c>
      <c r="BL12" s="53">
        <f t="shared" si="6"/>
        <v>0</v>
      </c>
      <c r="BM12" s="54"/>
      <c r="BN12" s="54">
        <f t="shared" si="6"/>
        <v>0</v>
      </c>
      <c r="BO12" s="53">
        <f t="shared" si="6"/>
        <v>0</v>
      </c>
      <c r="BP12" s="53">
        <f t="shared" si="6"/>
        <v>0</v>
      </c>
      <c r="BQ12" s="53">
        <f t="shared" si="6"/>
        <v>0</v>
      </c>
      <c r="BR12" s="58"/>
      <c r="BS12" s="58"/>
      <c r="BT12" s="58"/>
      <c r="BW12" s="60"/>
      <c r="BX12" s="61"/>
    </row>
    <row r="13" spans="1:76" s="69" customFormat="1" x14ac:dyDescent="0.25">
      <c r="A13" s="504"/>
      <c r="B13" s="507" t="s">
        <v>75</v>
      </c>
      <c r="C13" s="62" t="s">
        <v>69</v>
      </c>
      <c r="D13" s="62" t="s">
        <v>70</v>
      </c>
      <c r="E13" s="63">
        <f>E17+E103+E119+E24</f>
        <v>34052553</v>
      </c>
      <c r="F13" s="63">
        <f>F17+F103+F119+F24</f>
        <v>38138859.360000014</v>
      </c>
      <c r="G13" s="64"/>
      <c r="H13" s="63"/>
      <c r="I13" s="63">
        <f>I17+I103+I119+I24</f>
        <v>17152628</v>
      </c>
      <c r="J13" s="63">
        <f>J17+J103+J119+J24</f>
        <v>19210943.360000003</v>
      </c>
      <c r="K13" s="65"/>
      <c r="L13" s="64"/>
      <c r="M13" s="64"/>
      <c r="N13" s="66">
        <f>N17+N103+N119+N24</f>
        <v>17294313678.095715</v>
      </c>
      <c r="O13" s="66">
        <f>O17+O103+O119+O24</f>
        <v>19336801606.539993</v>
      </c>
      <c r="P13" s="66">
        <f>P17+P103+P119+P24</f>
        <v>18467975921.135715</v>
      </c>
      <c r="Q13" s="66">
        <f>Q17+Q103+Q119+Q24</f>
        <v>20510463849.579994</v>
      </c>
      <c r="R13" s="64"/>
      <c r="S13" s="63"/>
      <c r="T13" s="63" t="e">
        <f>T17+T103+T119+T24</f>
        <v>#REF!</v>
      </c>
      <c r="U13" s="63" t="e">
        <f>U17+U103+U119+U24</f>
        <v>#REF!</v>
      </c>
      <c r="V13" s="63"/>
      <c r="W13" s="63" t="e">
        <f>W17+W103+W119+W24</f>
        <v>#REF!</v>
      </c>
      <c r="X13" s="63" t="e">
        <f>X17+X103+X119+X24</f>
        <v>#REF!</v>
      </c>
      <c r="Y13" s="63"/>
      <c r="Z13" s="63">
        <f>Z17+Z103+Z119+Z24</f>
        <v>0</v>
      </c>
      <c r="AA13" s="63">
        <f>AA17+AA103+AA119+AA24</f>
        <v>0</v>
      </c>
      <c r="AB13" s="63"/>
      <c r="AC13" s="63">
        <f>AC17+AC103+AC119+AC24</f>
        <v>11036700</v>
      </c>
      <c r="AD13" s="63">
        <f>AD17+AD103+AD119+AD24</f>
        <v>12361104</v>
      </c>
      <c r="AE13" s="63"/>
      <c r="AF13" s="63">
        <f>AF17+AF103+AF119+AF24</f>
        <v>11036700</v>
      </c>
      <c r="AG13" s="63">
        <f>AG17+AG103+AG119+AG24</f>
        <v>12361104</v>
      </c>
      <c r="AH13" s="63"/>
      <c r="AI13" s="63">
        <f>AI17+AI103+AI119+AI24</f>
        <v>17152628</v>
      </c>
      <c r="AJ13" s="63">
        <f>AJ17+AJ103+AJ119+AJ24</f>
        <v>19210943.360000003</v>
      </c>
      <c r="AK13" s="63"/>
      <c r="AL13" s="63">
        <f>AL17+AL103+AL119+AL24</f>
        <v>8358098</v>
      </c>
      <c r="AM13" s="63">
        <f>AM17+AM103+AM119+AM24</f>
        <v>9361069.7600000016</v>
      </c>
      <c r="AN13" s="63"/>
      <c r="AO13" s="63">
        <f>AO17+AO103+AO119+AO24</f>
        <v>-8794530.0000000019</v>
      </c>
      <c r="AP13" s="63">
        <f>AP17+AP103+AP119+AP24</f>
        <v>-9849873.5999999996</v>
      </c>
      <c r="AQ13" s="63"/>
      <c r="AR13" s="67">
        <f t="shared" si="4"/>
        <v>0.48727798445812504</v>
      </c>
      <c r="AS13" s="64">
        <f>AS17+AS103+AS119+AS24</f>
        <v>0</v>
      </c>
      <c r="AT13" s="64">
        <f>AT17+AT103+AT119+AT24</f>
        <v>0</v>
      </c>
      <c r="AU13" s="64">
        <f>AU17+AU103+AU119+AU24</f>
        <v>0</v>
      </c>
      <c r="AV13" s="63">
        <f>AV17+AV103+AV119+AV24</f>
        <v>43932926.265714288</v>
      </c>
      <c r="AW13" s="63">
        <f>AW17+AW103+AW119+AW24</f>
        <v>49204877.417600006</v>
      </c>
      <c r="AX13" s="63"/>
      <c r="AY13" s="63">
        <f t="shared" ref="AY13:BL13" si="9">AY17+AY103+AY119+AY24</f>
        <v>0</v>
      </c>
      <c r="AZ13" s="63">
        <f t="shared" si="9"/>
        <v>-8850611.200000003</v>
      </c>
      <c r="BA13" s="63">
        <f t="shared" si="9"/>
        <v>0</v>
      </c>
      <c r="BB13" s="63">
        <f t="shared" si="9"/>
        <v>0</v>
      </c>
      <c r="BC13" s="63">
        <f t="shared" si="9"/>
        <v>0</v>
      </c>
      <c r="BD13" s="63">
        <f t="shared" si="9"/>
        <v>0</v>
      </c>
      <c r="BE13" s="63">
        <f t="shared" si="9"/>
        <v>0</v>
      </c>
      <c r="BF13" s="63">
        <f t="shared" si="9"/>
        <v>0</v>
      </c>
      <c r="BG13" s="63">
        <f t="shared" si="9"/>
        <v>0</v>
      </c>
      <c r="BH13" s="63">
        <f t="shared" si="9"/>
        <v>0</v>
      </c>
      <c r="BI13" s="63">
        <f t="shared" si="9"/>
        <v>0</v>
      </c>
      <c r="BJ13" s="63">
        <f t="shared" si="9"/>
        <v>0</v>
      </c>
      <c r="BK13" s="63">
        <f t="shared" si="9"/>
        <v>0</v>
      </c>
      <c r="BL13" s="63">
        <f t="shared" si="9"/>
        <v>56081.199999999983</v>
      </c>
      <c r="BM13" s="64"/>
      <c r="BN13" s="64" t="e">
        <f>BN17+BN103+BN119</f>
        <v>#REF!</v>
      </c>
      <c r="BO13" s="63" t="e">
        <f>BO17+BO103+BO119+BO24</f>
        <v>#REF!</v>
      </c>
      <c r="BP13" s="63" t="e">
        <f>BP17+BP103+BP119+BP24</f>
        <v>#REF!</v>
      </c>
      <c r="BQ13" s="63" t="e">
        <f>BQ17+BQ103+BQ119+BQ24</f>
        <v>#REF!</v>
      </c>
      <c r="BR13" s="68"/>
      <c r="BS13" s="68"/>
      <c r="BT13" s="68"/>
      <c r="BW13" s="70">
        <f>SUM(AY13:BL13)</f>
        <v>-8794530.0000000037</v>
      </c>
      <c r="BX13" s="71">
        <f>AO13-BW13</f>
        <v>0</v>
      </c>
    </row>
    <row r="14" spans="1:76" s="69" customFormat="1" x14ac:dyDescent="0.25">
      <c r="A14" s="505"/>
      <c r="B14" s="508"/>
      <c r="C14" s="62" t="s">
        <v>71</v>
      </c>
      <c r="D14" s="62" t="s">
        <v>72</v>
      </c>
      <c r="E14" s="63">
        <f>SUM(E15:E16)</f>
        <v>33923348</v>
      </c>
      <c r="F14" s="63">
        <f>SUM(F15:F16)</f>
        <v>37994149.760000013</v>
      </c>
      <c r="G14" s="64"/>
      <c r="H14" s="63"/>
      <c r="I14" s="63">
        <f>SUM(I15:I16)</f>
        <v>16538898.321428571</v>
      </c>
      <c r="J14" s="63">
        <f>SUM(J15:J16)</f>
        <v>18523566.120000001</v>
      </c>
      <c r="K14" s="65"/>
      <c r="L14" s="64"/>
      <c r="M14" s="64"/>
      <c r="N14" s="66">
        <f>SUM(N15:N16)</f>
        <v>17294313678.095715</v>
      </c>
      <c r="O14" s="66">
        <f>SUM(O15:O16)</f>
        <v>19336801606.539993</v>
      </c>
      <c r="P14" s="66">
        <f>SUM(P15:P16)</f>
        <v>18467975921.135715</v>
      </c>
      <c r="Q14" s="66">
        <f>SUM(Q15:Q16)</f>
        <v>20510463849.579994</v>
      </c>
      <c r="R14" s="64"/>
      <c r="S14" s="63"/>
      <c r="T14" s="63" t="e">
        <f>SUM(T15:T16)</f>
        <v>#REF!</v>
      </c>
      <c r="U14" s="63" t="e">
        <f>SUM(U15:U16)</f>
        <v>#REF!</v>
      </c>
      <c r="V14" s="63"/>
      <c r="W14" s="63" t="e">
        <f>SUM(W15:W16)</f>
        <v>#REF!</v>
      </c>
      <c r="X14" s="63" t="e">
        <f>SUM(X15:X16)</f>
        <v>#REF!</v>
      </c>
      <c r="Y14" s="63"/>
      <c r="Z14" s="63">
        <f>SUM(Z15:Z16)</f>
        <v>0</v>
      </c>
      <c r="AA14" s="63">
        <f>SUM(AA15:AA16)</f>
        <v>0</v>
      </c>
      <c r="AB14" s="63"/>
      <c r="AC14" s="63">
        <f t="shared" ref="AC14:AD14" si="10">SUM(AC15:AC16)</f>
        <v>7721782.1308753565</v>
      </c>
      <c r="AD14" s="63">
        <f t="shared" si="10"/>
        <v>8469738.9382999986</v>
      </c>
      <c r="AE14" s="63"/>
      <c r="AF14" s="63">
        <f t="shared" ref="AF14:AG14" si="11">SUM(AF15:AF16)</f>
        <v>7721782.1308753565</v>
      </c>
      <c r="AG14" s="63">
        <f t="shared" si="11"/>
        <v>8469738.9382999986</v>
      </c>
      <c r="AH14" s="63"/>
      <c r="AI14" s="63">
        <f t="shared" ref="AI14:AJ14" si="12">SUM(AI15:AI16)</f>
        <v>16538898.425098214</v>
      </c>
      <c r="AJ14" s="63">
        <f t="shared" si="12"/>
        <v>18523566.152740002</v>
      </c>
      <c r="AK14" s="63"/>
      <c r="AL14" s="63">
        <f t="shared" ref="AL14:AM14" si="13">SUM(AL15:AL16)</f>
        <v>6219009.1230535721</v>
      </c>
      <c r="AM14" s="63">
        <f t="shared" si="13"/>
        <v>6965290.2178199971</v>
      </c>
      <c r="AN14" s="63"/>
      <c r="AO14" s="63">
        <f t="shared" ref="AO14:AP14" si="14">SUM(AO15:AO16)</f>
        <v>-10319889.302044645</v>
      </c>
      <c r="AP14" s="63">
        <f t="shared" si="14"/>
        <v>-11558275.934920004</v>
      </c>
      <c r="AQ14" s="63"/>
      <c r="AR14" s="67">
        <f t="shared" si="4"/>
        <v>0.37602317658690387</v>
      </c>
      <c r="AS14" s="64">
        <f t="shared" ref="AS14:AW14" si="15">SUM(AS15:AS16)</f>
        <v>1349922.5250982144</v>
      </c>
      <c r="AT14" s="64">
        <f t="shared" si="15"/>
        <v>4869086.5979553582</v>
      </c>
      <c r="AU14" s="64">
        <f t="shared" si="15"/>
        <v>0</v>
      </c>
      <c r="AV14" s="63">
        <f t="shared" si="15"/>
        <v>25184329.647714287</v>
      </c>
      <c r="AW14" s="63">
        <f t="shared" si="15"/>
        <v>28206449.205440003</v>
      </c>
      <c r="AX14" s="63"/>
      <c r="AY14" s="63">
        <f t="shared" ref="AY14:BL14" si="16">SUM(AY15:AY16)</f>
        <v>0</v>
      </c>
      <c r="AZ14" s="63">
        <f t="shared" si="16"/>
        <v>0</v>
      </c>
      <c r="BA14" s="63">
        <f t="shared" si="16"/>
        <v>0</v>
      </c>
      <c r="BB14" s="63">
        <f t="shared" si="16"/>
        <v>0</v>
      </c>
      <c r="BC14" s="63">
        <f t="shared" si="16"/>
        <v>0</v>
      </c>
      <c r="BD14" s="63">
        <f t="shared" si="16"/>
        <v>0</v>
      </c>
      <c r="BE14" s="63">
        <f t="shared" si="16"/>
        <v>0</v>
      </c>
      <c r="BF14" s="63">
        <f t="shared" si="16"/>
        <v>0</v>
      </c>
      <c r="BG14" s="63">
        <f t="shared" si="16"/>
        <v>0</v>
      </c>
      <c r="BH14" s="63">
        <f t="shared" si="16"/>
        <v>0</v>
      </c>
      <c r="BI14" s="63">
        <f t="shared" si="16"/>
        <v>0</v>
      </c>
      <c r="BJ14" s="63">
        <f t="shared" si="16"/>
        <v>0</v>
      </c>
      <c r="BK14" s="63">
        <f t="shared" si="16"/>
        <v>0</v>
      </c>
      <c r="BL14" s="63">
        <f t="shared" si="16"/>
        <v>0</v>
      </c>
      <c r="BM14" s="64"/>
      <c r="BN14" s="64" t="e">
        <f t="shared" ref="BN14:BQ14" si="17">SUM(BN15:BN16)</f>
        <v>#REF!</v>
      </c>
      <c r="BO14" s="63" t="e">
        <f t="shared" si="17"/>
        <v>#REF!</v>
      </c>
      <c r="BP14" s="63" t="e">
        <f t="shared" si="17"/>
        <v>#REF!</v>
      </c>
      <c r="BQ14" s="63" t="e">
        <f t="shared" si="17"/>
        <v>#REF!</v>
      </c>
      <c r="BR14" s="68"/>
      <c r="BS14" s="68"/>
      <c r="BT14" s="68"/>
      <c r="BW14" s="72"/>
      <c r="BX14" s="73"/>
    </row>
    <row r="15" spans="1:76" s="81" customFormat="1" x14ac:dyDescent="0.25">
      <c r="A15" s="505"/>
      <c r="B15" s="508"/>
      <c r="C15" s="510" t="s">
        <v>71</v>
      </c>
      <c r="D15" s="74" t="s">
        <v>73</v>
      </c>
      <c r="E15" s="75">
        <f>E19+E105+E121+E26</f>
        <v>33923348</v>
      </c>
      <c r="F15" s="75">
        <f>F19+F105+F121+F26</f>
        <v>37994149.760000013</v>
      </c>
      <c r="G15" s="76"/>
      <c r="H15" s="75"/>
      <c r="I15" s="75">
        <f>I19+I105+I121+I26</f>
        <v>16538898.321428571</v>
      </c>
      <c r="J15" s="75">
        <f>J19+J105+J121+J26</f>
        <v>18523566.120000001</v>
      </c>
      <c r="K15" s="77"/>
      <c r="L15" s="76"/>
      <c r="M15" s="76"/>
      <c r="N15" s="78">
        <f>N19+N105+N121+N26</f>
        <v>17294313678.095715</v>
      </c>
      <c r="O15" s="78">
        <f>O19+O105+O121+O26</f>
        <v>19336801606.539993</v>
      </c>
      <c r="P15" s="78">
        <f>P19+P105+P121+P26</f>
        <v>18467975921.135715</v>
      </c>
      <c r="Q15" s="78">
        <f>Q19+Q105+Q121+Q26</f>
        <v>20510463849.579994</v>
      </c>
      <c r="R15" s="76"/>
      <c r="S15" s="75"/>
      <c r="T15" s="75" t="e">
        <f>T19+T105+T121+T26</f>
        <v>#REF!</v>
      </c>
      <c r="U15" s="75" t="e">
        <f>U19+U105+U121+U26</f>
        <v>#REF!</v>
      </c>
      <c r="V15" s="75"/>
      <c r="W15" s="75" t="e">
        <f>W19+W105+W121+W26</f>
        <v>#REF!</v>
      </c>
      <c r="X15" s="75" t="e">
        <f>X19+X105+X121+X26</f>
        <v>#REF!</v>
      </c>
      <c r="Y15" s="75"/>
      <c r="Z15" s="75">
        <f>Z19+Z105+Z121+Z26</f>
        <v>0</v>
      </c>
      <c r="AA15" s="75">
        <f>AA19+AA105+AA121+AA26</f>
        <v>0</v>
      </c>
      <c r="AB15" s="75"/>
      <c r="AC15" s="75">
        <f>AC19+AC105+AC121+AC26</f>
        <v>7721782.1308753565</v>
      </c>
      <c r="AD15" s="75">
        <f>AD19+AD105+AD121+AD26</f>
        <v>8469738.9382999986</v>
      </c>
      <c r="AE15" s="75"/>
      <c r="AF15" s="75">
        <f>AF19+AF105+AF121+AF26</f>
        <v>7721782.1308753565</v>
      </c>
      <c r="AG15" s="75">
        <f>AG19+AG105+AG121+AG26</f>
        <v>8469738.9382999986</v>
      </c>
      <c r="AH15" s="75"/>
      <c r="AI15" s="75">
        <f>AI19+AI105+AI121+AI26</f>
        <v>16538898.425098214</v>
      </c>
      <c r="AJ15" s="75">
        <f>AJ19+AJ105+AJ121+AJ26</f>
        <v>18523566.152740002</v>
      </c>
      <c r="AK15" s="75"/>
      <c r="AL15" s="75">
        <f>AL19+AL105+AL121+AL26</f>
        <v>6219009.1230535721</v>
      </c>
      <c r="AM15" s="75">
        <f>AM19+AM105+AM121+AM26</f>
        <v>6965290.2178199971</v>
      </c>
      <c r="AN15" s="75"/>
      <c r="AO15" s="75">
        <f>AO19+AO105+AO121+AO26</f>
        <v>-10319889.302044645</v>
      </c>
      <c r="AP15" s="75">
        <f>AP19+AP105+AP121+AP26</f>
        <v>-11558275.934920004</v>
      </c>
      <c r="AQ15" s="75"/>
      <c r="AR15" s="79">
        <f t="shared" si="4"/>
        <v>0.37602317658690387</v>
      </c>
      <c r="AS15" s="76">
        <f>AS19+AS105+AS121+AS26</f>
        <v>1349922.5250982144</v>
      </c>
      <c r="AT15" s="76">
        <f>AT19+AT105+AT121+AT26</f>
        <v>4869086.5979553582</v>
      </c>
      <c r="AU15" s="76">
        <f>AU19+AU105+AU121+AU26</f>
        <v>0</v>
      </c>
      <c r="AV15" s="75">
        <f>AV19+AV105+AV121+AV26</f>
        <v>25184329.647714287</v>
      </c>
      <c r="AW15" s="75">
        <f>AW19+AW105+AW121+AW26</f>
        <v>28206449.205440003</v>
      </c>
      <c r="AX15" s="75"/>
      <c r="AY15" s="75">
        <f t="shared" ref="AY15:BL15" si="18">AY19+AY105+AY121+AY26</f>
        <v>0</v>
      </c>
      <c r="AZ15" s="75">
        <f t="shared" si="18"/>
        <v>0</v>
      </c>
      <c r="BA15" s="75">
        <f t="shared" si="18"/>
        <v>0</v>
      </c>
      <c r="BB15" s="75">
        <f t="shared" si="18"/>
        <v>0</v>
      </c>
      <c r="BC15" s="75">
        <f t="shared" si="18"/>
        <v>0</v>
      </c>
      <c r="BD15" s="75">
        <f t="shared" si="18"/>
        <v>0</v>
      </c>
      <c r="BE15" s="75">
        <f t="shared" si="18"/>
        <v>0</v>
      </c>
      <c r="BF15" s="75">
        <f t="shared" si="18"/>
        <v>0</v>
      </c>
      <c r="BG15" s="75">
        <f t="shared" si="18"/>
        <v>0</v>
      </c>
      <c r="BH15" s="75">
        <f t="shared" si="18"/>
        <v>0</v>
      </c>
      <c r="BI15" s="75">
        <f t="shared" si="18"/>
        <v>0</v>
      </c>
      <c r="BJ15" s="75">
        <f t="shared" si="18"/>
        <v>0</v>
      </c>
      <c r="BK15" s="75">
        <f t="shared" si="18"/>
        <v>0</v>
      </c>
      <c r="BL15" s="75">
        <f t="shared" si="18"/>
        <v>0</v>
      </c>
      <c r="BM15" s="76"/>
      <c r="BN15" s="76" t="e">
        <f>BN19+BN105+BN121</f>
        <v>#REF!</v>
      </c>
      <c r="BO15" s="75" t="e">
        <f>BO19+BO105+BO121+BO26</f>
        <v>#REF!</v>
      </c>
      <c r="BP15" s="75" t="e">
        <f>BP19+BP105+BP121+BP26</f>
        <v>#REF!</v>
      </c>
      <c r="BQ15" s="75" t="e">
        <f>BQ19+BQ105+BQ121+BQ26</f>
        <v>#REF!</v>
      </c>
      <c r="BR15" s="80"/>
      <c r="BS15" s="80"/>
      <c r="BT15" s="80"/>
      <c r="BW15" s="82"/>
      <c r="BX15" s="83"/>
    </row>
    <row r="16" spans="1:76" s="81" customFormat="1" x14ac:dyDescent="0.25">
      <c r="A16" s="506"/>
      <c r="B16" s="509"/>
      <c r="C16" s="511"/>
      <c r="D16" s="74" t="s">
        <v>74</v>
      </c>
      <c r="E16" s="75">
        <f>E106</f>
        <v>0</v>
      </c>
      <c r="F16" s="75">
        <f>F106</f>
        <v>0</v>
      </c>
      <c r="G16" s="76"/>
      <c r="H16" s="75"/>
      <c r="I16" s="75">
        <f>I106</f>
        <v>0</v>
      </c>
      <c r="J16" s="75">
        <f>J106</f>
        <v>0</v>
      </c>
      <c r="K16" s="77"/>
      <c r="L16" s="76"/>
      <c r="M16" s="76"/>
      <c r="N16" s="78">
        <f>N106</f>
        <v>0</v>
      </c>
      <c r="O16" s="78">
        <f>O106</f>
        <v>0</v>
      </c>
      <c r="P16" s="78">
        <f>P106</f>
        <v>0</v>
      </c>
      <c r="Q16" s="78">
        <f>Q106</f>
        <v>0</v>
      </c>
      <c r="R16" s="76"/>
      <c r="S16" s="75"/>
      <c r="T16" s="75">
        <f>T106</f>
        <v>0</v>
      </c>
      <c r="U16" s="75">
        <f>U106</f>
        <v>0</v>
      </c>
      <c r="V16" s="75"/>
      <c r="W16" s="75">
        <f>W106</f>
        <v>0</v>
      </c>
      <c r="X16" s="75">
        <f>X106</f>
        <v>0</v>
      </c>
      <c r="Y16" s="75"/>
      <c r="Z16" s="75">
        <f>Z106</f>
        <v>0</v>
      </c>
      <c r="AA16" s="75">
        <f>AA106</f>
        <v>0</v>
      </c>
      <c r="AB16" s="75"/>
      <c r="AC16" s="75">
        <f t="shared" ref="AC16:AD16" si="19">AC106</f>
        <v>0</v>
      </c>
      <c r="AD16" s="75">
        <f t="shared" si="19"/>
        <v>0</v>
      </c>
      <c r="AE16" s="75"/>
      <c r="AF16" s="75">
        <f t="shared" ref="AF16:AG16" si="20">AF106</f>
        <v>0</v>
      </c>
      <c r="AG16" s="75">
        <f t="shared" si="20"/>
        <v>0</v>
      </c>
      <c r="AH16" s="75"/>
      <c r="AI16" s="75">
        <f t="shared" ref="AI16:AJ16" si="21">AI106</f>
        <v>0</v>
      </c>
      <c r="AJ16" s="75">
        <f t="shared" si="21"/>
        <v>0</v>
      </c>
      <c r="AK16" s="75"/>
      <c r="AL16" s="75">
        <f t="shared" ref="AL16:AM16" si="22">AL106</f>
        <v>0</v>
      </c>
      <c r="AM16" s="75">
        <f t="shared" si="22"/>
        <v>0</v>
      </c>
      <c r="AN16" s="75"/>
      <c r="AO16" s="75">
        <f t="shared" ref="AO16:AP16" si="23">AO106</f>
        <v>0</v>
      </c>
      <c r="AP16" s="75">
        <f t="shared" si="23"/>
        <v>0</v>
      </c>
      <c r="AQ16" s="75"/>
      <c r="AR16" s="79" t="str">
        <f t="shared" si="4"/>
        <v/>
      </c>
      <c r="AS16" s="76">
        <f t="shared" ref="AS16:BL16" si="24">AS106</f>
        <v>0</v>
      </c>
      <c r="AT16" s="76">
        <f t="shared" si="24"/>
        <v>0</v>
      </c>
      <c r="AU16" s="76">
        <f t="shared" si="24"/>
        <v>0</v>
      </c>
      <c r="AV16" s="75">
        <f t="shared" si="24"/>
        <v>0</v>
      </c>
      <c r="AW16" s="75">
        <f t="shared" si="24"/>
        <v>0</v>
      </c>
      <c r="AX16" s="75"/>
      <c r="AY16" s="75">
        <f t="shared" si="24"/>
        <v>0</v>
      </c>
      <c r="AZ16" s="75">
        <f t="shared" si="24"/>
        <v>0</v>
      </c>
      <c r="BA16" s="75">
        <f t="shared" si="24"/>
        <v>0</v>
      </c>
      <c r="BB16" s="75">
        <f t="shared" si="24"/>
        <v>0</v>
      </c>
      <c r="BC16" s="75">
        <f t="shared" si="24"/>
        <v>0</v>
      </c>
      <c r="BD16" s="75">
        <f t="shared" si="24"/>
        <v>0</v>
      </c>
      <c r="BE16" s="75">
        <f t="shared" si="24"/>
        <v>0</v>
      </c>
      <c r="BF16" s="75">
        <f t="shared" si="24"/>
        <v>0</v>
      </c>
      <c r="BG16" s="75">
        <f t="shared" si="24"/>
        <v>0</v>
      </c>
      <c r="BH16" s="75">
        <f t="shared" si="24"/>
        <v>0</v>
      </c>
      <c r="BI16" s="75">
        <f t="shared" si="24"/>
        <v>0</v>
      </c>
      <c r="BJ16" s="75">
        <f t="shared" si="24"/>
        <v>0</v>
      </c>
      <c r="BK16" s="75">
        <f t="shared" si="24"/>
        <v>0</v>
      </c>
      <c r="BL16" s="75">
        <f t="shared" si="24"/>
        <v>0</v>
      </c>
      <c r="BM16" s="76"/>
      <c r="BN16" s="76">
        <f t="shared" ref="BN16:BQ16" si="25">BN106</f>
        <v>0</v>
      </c>
      <c r="BO16" s="75">
        <f t="shared" si="25"/>
        <v>0</v>
      </c>
      <c r="BP16" s="75">
        <f t="shared" si="25"/>
        <v>0</v>
      </c>
      <c r="BQ16" s="75">
        <f t="shared" si="25"/>
        <v>0</v>
      </c>
      <c r="BR16" s="80"/>
      <c r="BS16" s="80"/>
      <c r="BT16" s="80"/>
      <c r="BW16" s="82"/>
      <c r="BX16" s="83"/>
    </row>
    <row r="17" spans="1:76" s="97" customFormat="1" hidden="1" outlineLevel="1" x14ac:dyDescent="0.25">
      <c r="A17" s="349">
        <v>1</v>
      </c>
      <c r="B17" s="351" t="s">
        <v>76</v>
      </c>
      <c r="C17" s="84" t="s">
        <v>69</v>
      </c>
      <c r="D17" s="84" t="s">
        <v>70</v>
      </c>
      <c r="E17" s="85">
        <f>E20</f>
        <v>0</v>
      </c>
      <c r="F17" s="85">
        <f t="shared" ref="F17:BQ17" si="26">F20</f>
        <v>0</v>
      </c>
      <c r="G17" s="86"/>
      <c r="H17" s="85"/>
      <c r="I17" s="87">
        <f t="shared" si="26"/>
        <v>0</v>
      </c>
      <c r="J17" s="87">
        <f>J20</f>
        <v>0</v>
      </c>
      <c r="K17" s="88"/>
      <c r="L17" s="89"/>
      <c r="M17" s="90"/>
      <c r="N17" s="91">
        <f t="shared" si="26"/>
        <v>0</v>
      </c>
      <c r="O17" s="91">
        <f t="shared" si="26"/>
        <v>0</v>
      </c>
      <c r="P17" s="91">
        <f t="shared" si="26"/>
        <v>0</v>
      </c>
      <c r="Q17" s="91">
        <f t="shared" si="26"/>
        <v>0</v>
      </c>
      <c r="R17" s="92">
        <f t="shared" si="26"/>
        <v>0</v>
      </c>
      <c r="S17" s="85">
        <f t="shared" si="26"/>
        <v>0</v>
      </c>
      <c r="T17" s="87">
        <f t="shared" si="26"/>
        <v>0</v>
      </c>
      <c r="U17" s="87">
        <f t="shared" si="26"/>
        <v>0</v>
      </c>
      <c r="V17" s="87">
        <f t="shared" si="26"/>
        <v>0</v>
      </c>
      <c r="W17" s="87">
        <f t="shared" si="26"/>
        <v>0</v>
      </c>
      <c r="X17" s="87">
        <f t="shared" si="26"/>
        <v>0</v>
      </c>
      <c r="Y17" s="87">
        <f t="shared" si="26"/>
        <v>0</v>
      </c>
      <c r="Z17" s="87">
        <f t="shared" si="26"/>
        <v>0</v>
      </c>
      <c r="AA17" s="87">
        <f t="shared" si="26"/>
        <v>0</v>
      </c>
      <c r="AB17" s="87">
        <f t="shared" si="26"/>
        <v>0</v>
      </c>
      <c r="AC17" s="87">
        <f t="shared" si="26"/>
        <v>0</v>
      </c>
      <c r="AD17" s="87">
        <f t="shared" si="26"/>
        <v>0</v>
      </c>
      <c r="AE17" s="87">
        <f t="shared" si="26"/>
        <v>0</v>
      </c>
      <c r="AF17" s="87">
        <f t="shared" si="26"/>
        <v>0</v>
      </c>
      <c r="AG17" s="87">
        <f t="shared" si="26"/>
        <v>0</v>
      </c>
      <c r="AH17" s="87">
        <f t="shared" si="26"/>
        <v>0</v>
      </c>
      <c r="AI17" s="87">
        <f t="shared" si="26"/>
        <v>0</v>
      </c>
      <c r="AJ17" s="87">
        <f t="shared" si="26"/>
        <v>0</v>
      </c>
      <c r="AK17" s="87"/>
      <c r="AL17" s="87">
        <f t="shared" si="26"/>
        <v>0</v>
      </c>
      <c r="AM17" s="85">
        <f t="shared" si="26"/>
        <v>0</v>
      </c>
      <c r="AN17" s="87"/>
      <c r="AO17" s="85">
        <f t="shared" si="26"/>
        <v>0</v>
      </c>
      <c r="AP17" s="85">
        <f t="shared" si="26"/>
        <v>0</v>
      </c>
      <c r="AQ17" s="85"/>
      <c r="AR17" s="93" t="str">
        <f>IF(AI17=0,"",AL17/AI17)</f>
        <v/>
      </c>
      <c r="AS17" s="94">
        <f t="shared" si="26"/>
        <v>0</v>
      </c>
      <c r="AT17" s="94">
        <f t="shared" si="26"/>
        <v>0</v>
      </c>
      <c r="AU17" s="94">
        <f t="shared" si="26"/>
        <v>0</v>
      </c>
      <c r="AV17" s="85">
        <f t="shared" si="26"/>
        <v>0</v>
      </c>
      <c r="AW17" s="85">
        <f t="shared" si="26"/>
        <v>0</v>
      </c>
      <c r="AX17" s="95"/>
      <c r="AY17" s="85">
        <f t="shared" si="26"/>
        <v>0</v>
      </c>
      <c r="AZ17" s="85">
        <f t="shared" si="26"/>
        <v>0</v>
      </c>
      <c r="BA17" s="85">
        <f t="shared" si="26"/>
        <v>0</v>
      </c>
      <c r="BB17" s="85">
        <f t="shared" si="26"/>
        <v>0</v>
      </c>
      <c r="BC17" s="85">
        <f t="shared" si="26"/>
        <v>0</v>
      </c>
      <c r="BD17" s="85">
        <f t="shared" si="26"/>
        <v>0</v>
      </c>
      <c r="BE17" s="85">
        <f t="shared" si="26"/>
        <v>0</v>
      </c>
      <c r="BF17" s="85">
        <f t="shared" si="26"/>
        <v>0</v>
      </c>
      <c r="BG17" s="85">
        <f t="shared" si="26"/>
        <v>0</v>
      </c>
      <c r="BH17" s="85">
        <f t="shared" si="26"/>
        <v>0</v>
      </c>
      <c r="BI17" s="85">
        <f t="shared" si="26"/>
        <v>0</v>
      </c>
      <c r="BJ17" s="85">
        <f t="shared" si="26"/>
        <v>0</v>
      </c>
      <c r="BK17" s="85">
        <f t="shared" si="26"/>
        <v>0</v>
      </c>
      <c r="BL17" s="85">
        <f t="shared" si="26"/>
        <v>0</v>
      </c>
      <c r="BM17" s="96"/>
      <c r="BN17" s="96">
        <f t="shared" si="26"/>
        <v>0</v>
      </c>
      <c r="BO17" s="96">
        <f t="shared" si="26"/>
        <v>0</v>
      </c>
      <c r="BP17" s="96">
        <f t="shared" si="26"/>
        <v>0</v>
      </c>
      <c r="BQ17" s="96">
        <f t="shared" si="26"/>
        <v>0</v>
      </c>
      <c r="BR17" s="96"/>
      <c r="BS17" s="96"/>
      <c r="BT17" s="96"/>
      <c r="BW17" s="98">
        <f>SUM(AY17:BL17)</f>
        <v>0</v>
      </c>
      <c r="BX17" s="99">
        <f>AO17-BW17</f>
        <v>0</v>
      </c>
    </row>
    <row r="18" spans="1:76" s="97" customFormat="1" hidden="1" outlineLevel="1" x14ac:dyDescent="0.25">
      <c r="A18" s="349"/>
      <c r="B18" s="351"/>
      <c r="C18" s="84" t="s">
        <v>71</v>
      </c>
      <c r="D18" s="84" t="s">
        <v>72</v>
      </c>
      <c r="E18" s="85">
        <f>E21+E23</f>
        <v>0</v>
      </c>
      <c r="F18" s="85">
        <f t="shared" ref="F18:BQ18" si="27">F21+F23</f>
        <v>0</v>
      </c>
      <c r="G18" s="86"/>
      <c r="H18" s="85"/>
      <c r="I18" s="87">
        <f>I21+I23</f>
        <v>0</v>
      </c>
      <c r="J18" s="87">
        <f>J21+J23</f>
        <v>0</v>
      </c>
      <c r="K18" s="88"/>
      <c r="L18" s="89"/>
      <c r="M18" s="90"/>
      <c r="N18" s="91">
        <f t="shared" si="27"/>
        <v>0</v>
      </c>
      <c r="O18" s="91">
        <f t="shared" si="27"/>
        <v>0</v>
      </c>
      <c r="P18" s="91">
        <f t="shared" si="27"/>
        <v>0</v>
      </c>
      <c r="Q18" s="91">
        <f t="shared" si="27"/>
        <v>0</v>
      </c>
      <c r="R18" s="92">
        <f t="shared" si="27"/>
        <v>0</v>
      </c>
      <c r="S18" s="85">
        <f t="shared" si="27"/>
        <v>0</v>
      </c>
      <c r="T18" s="87">
        <f t="shared" si="27"/>
        <v>0</v>
      </c>
      <c r="U18" s="87">
        <f t="shared" si="27"/>
        <v>0</v>
      </c>
      <c r="V18" s="87">
        <f t="shared" si="27"/>
        <v>0</v>
      </c>
      <c r="W18" s="87">
        <f t="shared" si="27"/>
        <v>0</v>
      </c>
      <c r="X18" s="87">
        <f t="shared" si="27"/>
        <v>0</v>
      </c>
      <c r="Y18" s="87">
        <f t="shared" si="27"/>
        <v>0</v>
      </c>
      <c r="Z18" s="87">
        <f t="shared" si="27"/>
        <v>0</v>
      </c>
      <c r="AA18" s="87">
        <f t="shared" si="27"/>
        <v>0</v>
      </c>
      <c r="AB18" s="87">
        <f t="shared" si="27"/>
        <v>0</v>
      </c>
      <c r="AC18" s="87">
        <f t="shared" si="27"/>
        <v>0</v>
      </c>
      <c r="AD18" s="87">
        <f t="shared" si="27"/>
        <v>0</v>
      </c>
      <c r="AE18" s="87">
        <f t="shared" si="27"/>
        <v>0</v>
      </c>
      <c r="AF18" s="87">
        <f t="shared" si="27"/>
        <v>0</v>
      </c>
      <c r="AG18" s="87">
        <f t="shared" si="27"/>
        <v>0</v>
      </c>
      <c r="AH18" s="87">
        <f t="shared" si="27"/>
        <v>0</v>
      </c>
      <c r="AI18" s="87">
        <f t="shared" si="27"/>
        <v>0</v>
      </c>
      <c r="AJ18" s="87">
        <f t="shared" si="27"/>
        <v>0</v>
      </c>
      <c r="AK18" s="87"/>
      <c r="AL18" s="87">
        <f t="shared" si="27"/>
        <v>0</v>
      </c>
      <c r="AM18" s="85">
        <f t="shared" si="27"/>
        <v>0</v>
      </c>
      <c r="AN18" s="87"/>
      <c r="AO18" s="85">
        <f t="shared" si="27"/>
        <v>0</v>
      </c>
      <c r="AP18" s="85">
        <f t="shared" si="27"/>
        <v>0</v>
      </c>
      <c r="AQ18" s="85"/>
      <c r="AR18" s="93" t="str">
        <f t="shared" ref="AR18:AR152" si="28">IF(AI18=0,"",AL18/AI18)</f>
        <v/>
      </c>
      <c r="AS18" s="94">
        <f t="shared" si="27"/>
        <v>0</v>
      </c>
      <c r="AT18" s="94">
        <f t="shared" si="27"/>
        <v>0</v>
      </c>
      <c r="AU18" s="94">
        <f t="shared" si="27"/>
        <v>0</v>
      </c>
      <c r="AV18" s="85">
        <f t="shared" si="27"/>
        <v>0</v>
      </c>
      <c r="AW18" s="85">
        <f t="shared" si="27"/>
        <v>0</v>
      </c>
      <c r="AX18" s="85"/>
      <c r="AY18" s="85">
        <f t="shared" si="27"/>
        <v>0</v>
      </c>
      <c r="AZ18" s="85">
        <f t="shared" si="27"/>
        <v>0</v>
      </c>
      <c r="BA18" s="85">
        <f t="shared" si="27"/>
        <v>0</v>
      </c>
      <c r="BB18" s="85">
        <f t="shared" si="27"/>
        <v>0</v>
      </c>
      <c r="BC18" s="85">
        <f t="shared" si="27"/>
        <v>0</v>
      </c>
      <c r="BD18" s="85">
        <f t="shared" si="27"/>
        <v>0</v>
      </c>
      <c r="BE18" s="85">
        <f t="shared" si="27"/>
        <v>0</v>
      </c>
      <c r="BF18" s="85">
        <f t="shared" si="27"/>
        <v>0</v>
      </c>
      <c r="BG18" s="85">
        <f t="shared" si="27"/>
        <v>0</v>
      </c>
      <c r="BH18" s="85">
        <f t="shared" si="27"/>
        <v>0</v>
      </c>
      <c r="BI18" s="85">
        <f t="shared" si="27"/>
        <v>0</v>
      </c>
      <c r="BJ18" s="85">
        <f t="shared" si="27"/>
        <v>0</v>
      </c>
      <c r="BK18" s="85">
        <f t="shared" si="27"/>
        <v>0</v>
      </c>
      <c r="BL18" s="85">
        <f t="shared" si="27"/>
        <v>0</v>
      </c>
      <c r="BM18" s="96"/>
      <c r="BN18" s="96">
        <f t="shared" si="27"/>
        <v>0</v>
      </c>
      <c r="BO18" s="96">
        <f t="shared" si="27"/>
        <v>0</v>
      </c>
      <c r="BP18" s="96">
        <f t="shared" si="27"/>
        <v>0</v>
      </c>
      <c r="BQ18" s="96">
        <f t="shared" si="27"/>
        <v>0</v>
      </c>
      <c r="BR18" s="96"/>
      <c r="BS18" s="96"/>
      <c r="BT18" s="96"/>
      <c r="BW18" s="100"/>
      <c r="BX18" s="101"/>
    </row>
    <row r="19" spans="1:76" s="114" customFormat="1" hidden="1" outlineLevel="1" x14ac:dyDescent="0.25">
      <c r="A19" s="349"/>
      <c r="B19" s="351"/>
      <c r="C19" s="102" t="s">
        <v>71</v>
      </c>
      <c r="D19" s="102" t="s">
        <v>73</v>
      </c>
      <c r="E19" s="103">
        <f>E22+E23</f>
        <v>0</v>
      </c>
      <c r="F19" s="103">
        <f t="shared" ref="F19:BQ19" si="29">F22+F23</f>
        <v>0</v>
      </c>
      <c r="G19" s="104"/>
      <c r="H19" s="103"/>
      <c r="I19" s="105">
        <f t="shared" si="29"/>
        <v>0</v>
      </c>
      <c r="J19" s="105">
        <f t="shared" si="29"/>
        <v>0</v>
      </c>
      <c r="K19" s="106"/>
      <c r="L19" s="107"/>
      <c r="M19" s="108"/>
      <c r="N19" s="109">
        <f t="shared" si="29"/>
        <v>0</v>
      </c>
      <c r="O19" s="109">
        <f t="shared" si="29"/>
        <v>0</v>
      </c>
      <c r="P19" s="109">
        <f t="shared" si="29"/>
        <v>0</v>
      </c>
      <c r="Q19" s="109">
        <f t="shared" si="29"/>
        <v>0</v>
      </c>
      <c r="R19" s="110">
        <f t="shared" si="29"/>
        <v>0</v>
      </c>
      <c r="S19" s="103">
        <f t="shared" si="29"/>
        <v>0</v>
      </c>
      <c r="T19" s="105">
        <f t="shared" si="29"/>
        <v>0</v>
      </c>
      <c r="U19" s="105">
        <f t="shared" si="29"/>
        <v>0</v>
      </c>
      <c r="V19" s="105">
        <f t="shared" si="29"/>
        <v>0</v>
      </c>
      <c r="W19" s="105">
        <f t="shared" si="29"/>
        <v>0</v>
      </c>
      <c r="X19" s="105">
        <f t="shared" si="29"/>
        <v>0</v>
      </c>
      <c r="Y19" s="105">
        <f t="shared" si="29"/>
        <v>0</v>
      </c>
      <c r="Z19" s="105">
        <f t="shared" si="29"/>
        <v>0</v>
      </c>
      <c r="AA19" s="105">
        <f t="shared" si="29"/>
        <v>0</v>
      </c>
      <c r="AB19" s="105">
        <f t="shared" si="29"/>
        <v>0</v>
      </c>
      <c r="AC19" s="105">
        <f t="shared" si="29"/>
        <v>0</v>
      </c>
      <c r="AD19" s="105">
        <f t="shared" si="29"/>
        <v>0</v>
      </c>
      <c r="AE19" s="105">
        <f t="shared" si="29"/>
        <v>0</v>
      </c>
      <c r="AF19" s="105">
        <f t="shared" si="29"/>
        <v>0</v>
      </c>
      <c r="AG19" s="105">
        <f t="shared" si="29"/>
        <v>0</v>
      </c>
      <c r="AH19" s="105">
        <f t="shared" si="29"/>
        <v>0</v>
      </c>
      <c r="AI19" s="105">
        <f t="shared" si="29"/>
        <v>0</v>
      </c>
      <c r="AJ19" s="105">
        <f t="shared" si="29"/>
        <v>0</v>
      </c>
      <c r="AK19" s="105"/>
      <c r="AL19" s="105">
        <f t="shared" si="29"/>
        <v>0</v>
      </c>
      <c r="AM19" s="103">
        <f t="shared" si="29"/>
        <v>0</v>
      </c>
      <c r="AN19" s="105"/>
      <c r="AO19" s="103">
        <f t="shared" si="29"/>
        <v>0</v>
      </c>
      <c r="AP19" s="103">
        <f t="shared" si="29"/>
        <v>0</v>
      </c>
      <c r="AQ19" s="103"/>
      <c r="AR19" s="111" t="str">
        <f t="shared" si="28"/>
        <v/>
      </c>
      <c r="AS19" s="112">
        <f t="shared" si="29"/>
        <v>0</v>
      </c>
      <c r="AT19" s="112">
        <f t="shared" si="29"/>
        <v>0</v>
      </c>
      <c r="AU19" s="112">
        <f t="shared" si="29"/>
        <v>0</v>
      </c>
      <c r="AV19" s="103">
        <f t="shared" si="29"/>
        <v>0</v>
      </c>
      <c r="AW19" s="103">
        <f t="shared" si="29"/>
        <v>0</v>
      </c>
      <c r="AX19" s="103"/>
      <c r="AY19" s="103">
        <f t="shared" si="29"/>
        <v>0</v>
      </c>
      <c r="AZ19" s="103">
        <f t="shared" si="29"/>
        <v>0</v>
      </c>
      <c r="BA19" s="103">
        <f t="shared" si="29"/>
        <v>0</v>
      </c>
      <c r="BB19" s="103">
        <f t="shared" si="29"/>
        <v>0</v>
      </c>
      <c r="BC19" s="103">
        <f t="shared" si="29"/>
        <v>0</v>
      </c>
      <c r="BD19" s="103">
        <f t="shared" si="29"/>
        <v>0</v>
      </c>
      <c r="BE19" s="103">
        <f t="shared" si="29"/>
        <v>0</v>
      </c>
      <c r="BF19" s="103">
        <f t="shared" si="29"/>
        <v>0</v>
      </c>
      <c r="BG19" s="103">
        <f t="shared" si="29"/>
        <v>0</v>
      </c>
      <c r="BH19" s="103">
        <f t="shared" si="29"/>
        <v>0</v>
      </c>
      <c r="BI19" s="103">
        <f t="shared" si="29"/>
        <v>0</v>
      </c>
      <c r="BJ19" s="103">
        <f t="shared" si="29"/>
        <v>0</v>
      </c>
      <c r="BK19" s="103">
        <f t="shared" si="29"/>
        <v>0</v>
      </c>
      <c r="BL19" s="103">
        <f t="shared" si="29"/>
        <v>0</v>
      </c>
      <c r="BM19" s="113"/>
      <c r="BN19" s="113">
        <f t="shared" si="29"/>
        <v>0</v>
      </c>
      <c r="BO19" s="113">
        <f t="shared" si="29"/>
        <v>0</v>
      </c>
      <c r="BP19" s="113">
        <f t="shared" si="29"/>
        <v>0</v>
      </c>
      <c r="BQ19" s="113">
        <f t="shared" si="29"/>
        <v>0</v>
      </c>
      <c r="BR19" s="113"/>
      <c r="BS19" s="113"/>
      <c r="BT19" s="113"/>
      <c r="BW19" s="115"/>
      <c r="BX19" s="116"/>
    </row>
    <row r="20" spans="1:76" s="97" customFormat="1" ht="12.75" hidden="1" customHeight="1" outlineLevel="1" x14ac:dyDescent="0.25">
      <c r="A20" s="355">
        <v>1</v>
      </c>
      <c r="B20" s="353"/>
      <c r="C20" s="117" t="s">
        <v>69</v>
      </c>
      <c r="D20" s="117" t="s">
        <v>70</v>
      </c>
      <c r="E20" s="118">
        <f>I20</f>
        <v>0</v>
      </c>
      <c r="F20" s="119">
        <f>E20*1.12</f>
        <v>0</v>
      </c>
      <c r="G20" s="464"/>
      <c r="H20" s="376"/>
      <c r="I20" s="119"/>
      <c r="J20" s="119">
        <f>I20*1.12</f>
        <v>0</v>
      </c>
      <c r="K20" s="467"/>
      <c r="L20" s="353"/>
      <c r="M20" s="453"/>
      <c r="N20" s="120">
        <f>O20/1.12</f>
        <v>0</v>
      </c>
      <c r="O20" s="120"/>
      <c r="P20" s="120">
        <f t="shared" ref="P20:Q22" si="30">N20</f>
        <v>0</v>
      </c>
      <c r="Q20" s="120">
        <f t="shared" si="30"/>
        <v>0</v>
      </c>
      <c r="R20" s="456"/>
      <c r="S20" s="376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>
        <f>AI20</f>
        <v>0</v>
      </c>
      <c r="AK20" s="119"/>
      <c r="AL20" s="119"/>
      <c r="AM20" s="118">
        <f>AL20*1.12</f>
        <v>0</v>
      </c>
      <c r="AN20" s="119"/>
      <c r="AO20" s="118">
        <f>AL20-AI20</f>
        <v>0</v>
      </c>
      <c r="AP20" s="118">
        <f>AM20-AJ20</f>
        <v>0</v>
      </c>
      <c r="AQ20" s="118"/>
      <c r="AR20" s="121" t="str">
        <f t="shared" si="28"/>
        <v/>
      </c>
      <c r="AS20" s="122"/>
      <c r="AT20" s="122"/>
      <c r="AU20" s="122"/>
      <c r="AV20" s="118"/>
      <c r="AW20" s="118">
        <f>AV20</f>
        <v>0</v>
      </c>
      <c r="AX20" s="118"/>
      <c r="AY20" s="118"/>
      <c r="AZ20" s="118"/>
      <c r="BA20" s="118"/>
      <c r="BB20" s="118"/>
      <c r="BC20" s="118"/>
      <c r="BD20" s="118"/>
      <c r="BE20" s="118"/>
      <c r="BF20" s="118"/>
      <c r="BG20" s="118"/>
      <c r="BH20" s="118"/>
      <c r="BI20" s="118"/>
      <c r="BJ20" s="118"/>
      <c r="BK20" s="118"/>
      <c r="BL20" s="118"/>
      <c r="BM20" s="123"/>
      <c r="BN20" s="123"/>
      <c r="BO20" s="123"/>
      <c r="BP20" s="123"/>
      <c r="BQ20" s="123"/>
      <c r="BR20" s="123"/>
      <c r="BS20" s="123"/>
      <c r="BT20" s="123"/>
      <c r="BW20" s="100"/>
      <c r="BX20" s="101"/>
    </row>
    <row r="21" spans="1:76" s="97" customFormat="1" hidden="1" outlineLevel="1" x14ac:dyDescent="0.25">
      <c r="A21" s="416"/>
      <c r="B21" s="375"/>
      <c r="C21" s="117" t="s">
        <v>71</v>
      </c>
      <c r="D21" s="117" t="s">
        <v>72</v>
      </c>
      <c r="E21" s="118">
        <f>I21</f>
        <v>0</v>
      </c>
      <c r="F21" s="119">
        <f>E21*1.12</f>
        <v>0</v>
      </c>
      <c r="G21" s="465"/>
      <c r="H21" s="377"/>
      <c r="I21" s="119"/>
      <c r="J21" s="119">
        <f>I21*1.12</f>
        <v>0</v>
      </c>
      <c r="K21" s="468"/>
      <c r="L21" s="375"/>
      <c r="M21" s="454"/>
      <c r="N21" s="120">
        <f>N20</f>
        <v>0</v>
      </c>
      <c r="O21" s="120">
        <f>O20</f>
        <v>0</v>
      </c>
      <c r="P21" s="120">
        <f t="shared" si="30"/>
        <v>0</v>
      </c>
      <c r="Q21" s="120">
        <f t="shared" si="30"/>
        <v>0</v>
      </c>
      <c r="R21" s="457"/>
      <c r="S21" s="377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>
        <f t="shared" ref="AJ21:AJ23" si="31">AI21</f>
        <v>0</v>
      </c>
      <c r="AK21" s="119"/>
      <c r="AL21" s="119"/>
      <c r="AM21" s="118">
        <f>AL21*1.12</f>
        <v>0</v>
      </c>
      <c r="AN21" s="119"/>
      <c r="AO21" s="118">
        <f t="shared" ref="AO21:AP23" si="32">AL21-AI21</f>
        <v>0</v>
      </c>
      <c r="AP21" s="118">
        <f t="shared" si="32"/>
        <v>0</v>
      </c>
      <c r="AQ21" s="118"/>
      <c r="AR21" s="121" t="str">
        <f t="shared" si="28"/>
        <v/>
      </c>
      <c r="AS21" s="122"/>
      <c r="AT21" s="122"/>
      <c r="AU21" s="122"/>
      <c r="AV21" s="118"/>
      <c r="AW21" s="118">
        <f t="shared" ref="AW21:AW23" si="33">AV21*1.12</f>
        <v>0</v>
      </c>
      <c r="AX21" s="118"/>
      <c r="AY21" s="118"/>
      <c r="AZ21" s="118"/>
      <c r="BA21" s="118"/>
      <c r="BB21" s="118"/>
      <c r="BC21" s="118"/>
      <c r="BD21" s="118"/>
      <c r="BE21" s="118"/>
      <c r="BF21" s="118"/>
      <c r="BG21" s="118"/>
      <c r="BH21" s="118"/>
      <c r="BI21" s="118"/>
      <c r="BJ21" s="118"/>
      <c r="BK21" s="118"/>
      <c r="BL21" s="118"/>
      <c r="BM21" s="123"/>
      <c r="BN21" s="123"/>
      <c r="BO21" s="123"/>
      <c r="BP21" s="123"/>
      <c r="BQ21" s="123"/>
      <c r="BR21" s="123"/>
      <c r="BS21" s="123"/>
      <c r="BT21" s="123"/>
      <c r="BW21" s="100"/>
      <c r="BX21" s="101"/>
    </row>
    <row r="22" spans="1:76" hidden="1" outlineLevel="1" x14ac:dyDescent="0.25">
      <c r="A22" s="356"/>
      <c r="B22" s="354"/>
      <c r="C22" s="124" t="s">
        <v>71</v>
      </c>
      <c r="D22" s="124" t="s">
        <v>73</v>
      </c>
      <c r="E22" s="125">
        <f>I22</f>
        <v>0</v>
      </c>
      <c r="F22" s="126">
        <f>E22*1.12</f>
        <v>0</v>
      </c>
      <c r="G22" s="466"/>
      <c r="H22" s="378"/>
      <c r="I22" s="126"/>
      <c r="J22" s="126">
        <f>I22*1.12</f>
        <v>0</v>
      </c>
      <c r="K22" s="469"/>
      <c r="L22" s="354"/>
      <c r="M22" s="455"/>
      <c r="N22" s="127">
        <f>N21</f>
        <v>0</v>
      </c>
      <c r="O22" s="127">
        <f>O21</f>
        <v>0</v>
      </c>
      <c r="P22" s="127">
        <f t="shared" si="30"/>
        <v>0</v>
      </c>
      <c r="Q22" s="127">
        <f t="shared" si="30"/>
        <v>0</v>
      </c>
      <c r="R22" s="458"/>
      <c r="S22" s="378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>
        <f t="shared" si="31"/>
        <v>0</v>
      </c>
      <c r="AK22" s="126"/>
      <c r="AL22" s="126"/>
      <c r="AM22" s="125">
        <f>AL22*1.12</f>
        <v>0</v>
      </c>
      <c r="AN22" s="126"/>
      <c r="AO22" s="125">
        <f t="shared" si="32"/>
        <v>0</v>
      </c>
      <c r="AP22" s="125">
        <f t="shared" si="32"/>
        <v>0</v>
      </c>
      <c r="AQ22" s="125"/>
      <c r="AR22" s="128" t="str">
        <f t="shared" si="28"/>
        <v/>
      </c>
      <c r="AS22" s="129"/>
      <c r="AT22" s="129"/>
      <c r="AU22" s="129"/>
      <c r="AV22" s="125">
        <f>AV21</f>
        <v>0</v>
      </c>
      <c r="AW22" s="125">
        <f t="shared" si="33"/>
        <v>0</v>
      </c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30"/>
      <c r="BN22" s="130"/>
      <c r="BO22" s="130"/>
      <c r="BP22" s="130"/>
      <c r="BQ22" s="130"/>
      <c r="BR22" s="130"/>
      <c r="BS22" s="130"/>
      <c r="BT22" s="130"/>
      <c r="BW22" s="25"/>
      <c r="BX22" s="26"/>
    </row>
    <row r="23" spans="1:76" hidden="1" outlineLevel="1" x14ac:dyDescent="0.25">
      <c r="A23" s="32">
        <v>2</v>
      </c>
      <c r="B23" s="131" t="s">
        <v>77</v>
      </c>
      <c r="C23" s="124" t="s">
        <v>71</v>
      </c>
      <c r="D23" s="124" t="s">
        <v>73</v>
      </c>
      <c r="E23" s="125"/>
      <c r="F23" s="125">
        <f t="shared" ref="F23" si="34">E23*1.12</f>
        <v>0</v>
      </c>
      <c r="G23" s="132"/>
      <c r="H23" s="125"/>
      <c r="I23" s="126"/>
      <c r="J23" s="126">
        <f>I23*1.12</f>
        <v>0</v>
      </c>
      <c r="K23" s="133"/>
      <c r="L23" s="134"/>
      <c r="M23" s="135"/>
      <c r="N23" s="127"/>
      <c r="O23" s="127"/>
      <c r="P23" s="127"/>
      <c r="Q23" s="127"/>
      <c r="R23" s="136"/>
      <c r="S23" s="125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>
        <f t="shared" si="31"/>
        <v>0</v>
      </c>
      <c r="AK23" s="126"/>
      <c r="AL23" s="126"/>
      <c r="AM23" s="125">
        <f>AL23*1.12</f>
        <v>0</v>
      </c>
      <c r="AN23" s="126"/>
      <c r="AO23" s="125">
        <f t="shared" si="32"/>
        <v>0</v>
      </c>
      <c r="AP23" s="125">
        <f t="shared" si="32"/>
        <v>0</v>
      </c>
      <c r="AQ23" s="125"/>
      <c r="AR23" s="128" t="str">
        <f t="shared" si="28"/>
        <v/>
      </c>
      <c r="AS23" s="129">
        <f>AL23</f>
        <v>0</v>
      </c>
      <c r="AT23" s="129"/>
      <c r="AU23" s="129"/>
      <c r="AV23" s="125">
        <f t="shared" ref="AV23" si="35">I23</f>
        <v>0</v>
      </c>
      <c r="AW23" s="125">
        <f t="shared" si="33"/>
        <v>0</v>
      </c>
      <c r="AX23" s="125"/>
      <c r="AY23" s="125"/>
      <c r="AZ23" s="125"/>
      <c r="BA23" s="125"/>
      <c r="BB23" s="125"/>
      <c r="BC23" s="125"/>
      <c r="BD23" s="125"/>
      <c r="BE23" s="125"/>
      <c r="BF23" s="125"/>
      <c r="BG23" s="125"/>
      <c r="BH23" s="125"/>
      <c r="BI23" s="125"/>
      <c r="BJ23" s="125"/>
      <c r="BK23" s="125"/>
      <c r="BL23" s="125"/>
      <c r="BM23" s="130"/>
      <c r="BN23" s="130"/>
      <c r="BO23" s="130"/>
      <c r="BP23" s="130"/>
      <c r="BQ23" s="130"/>
      <c r="BR23" s="130"/>
      <c r="BS23" s="130"/>
      <c r="BT23" s="130"/>
      <c r="BW23" s="25"/>
      <c r="BX23" s="26"/>
    </row>
    <row r="24" spans="1:76" s="97" customFormat="1" ht="27" hidden="1" customHeight="1" outlineLevel="1" x14ac:dyDescent="0.25">
      <c r="A24" s="349">
        <v>1</v>
      </c>
      <c r="B24" s="351" t="s">
        <v>78</v>
      </c>
      <c r="C24" s="84" t="s">
        <v>69</v>
      </c>
      <c r="D24" s="84" t="s">
        <v>70</v>
      </c>
      <c r="E24" s="85">
        <f t="shared" ref="E24:F26" si="36">E27+E42+E57+E84+E87+E90+E93+E96+E99</f>
        <v>0</v>
      </c>
      <c r="F24" s="85">
        <f t="shared" si="36"/>
        <v>0</v>
      </c>
      <c r="G24" s="86"/>
      <c r="H24" s="85"/>
      <c r="I24" s="85">
        <f t="shared" ref="I24:J26" si="37">I27+I42+I57+I84+I87+I90+I93+I96+I99</f>
        <v>0</v>
      </c>
      <c r="J24" s="85">
        <f t="shared" si="37"/>
        <v>0</v>
      </c>
      <c r="K24" s="88"/>
      <c r="L24" s="89"/>
      <c r="M24" s="90"/>
      <c r="N24" s="137">
        <f t="shared" ref="N24:Q26" si="38">N27+N42+N57+N84+N87+N90+N93+N96+N99</f>
        <v>0</v>
      </c>
      <c r="O24" s="137">
        <f t="shared" si="38"/>
        <v>0</v>
      </c>
      <c r="P24" s="137">
        <f t="shared" si="38"/>
        <v>0</v>
      </c>
      <c r="Q24" s="137">
        <f t="shared" si="38"/>
        <v>0</v>
      </c>
      <c r="R24" s="92"/>
      <c r="S24" s="85"/>
      <c r="T24" s="85">
        <f t="shared" ref="T24:U26" si="39">T27+T42+T57+T84+T87+T90+T93+T96+T99</f>
        <v>0</v>
      </c>
      <c r="U24" s="85">
        <f t="shared" si="39"/>
        <v>0</v>
      </c>
      <c r="V24" s="85"/>
      <c r="W24" s="85">
        <f t="shared" ref="W24:X26" si="40">W27+W42+W57+W84+W87+W90+W93+W96+W99</f>
        <v>0</v>
      </c>
      <c r="X24" s="85">
        <f t="shared" si="40"/>
        <v>0</v>
      </c>
      <c r="Y24" s="85"/>
      <c r="Z24" s="85">
        <f t="shared" ref="Z24:AA26" si="41">Z27+Z42+Z57+Z84+Z87+Z90+Z93+Z96+Z99</f>
        <v>0</v>
      </c>
      <c r="AA24" s="85">
        <f t="shared" si="41"/>
        <v>0</v>
      </c>
      <c r="AB24" s="85"/>
      <c r="AC24" s="85">
        <f t="shared" ref="AC24:AD26" si="42">AC27+AC42+AC57+AC84+AC87+AC90+AC93+AC96+AC99</f>
        <v>0</v>
      </c>
      <c r="AD24" s="85">
        <f t="shared" si="42"/>
        <v>0</v>
      </c>
      <c r="AE24" s="85"/>
      <c r="AF24" s="85">
        <f t="shared" ref="AF24:AG26" si="43">AF27+AF42+AF57+AF84+AF87+AF90+AF93+AF96+AF99</f>
        <v>0</v>
      </c>
      <c r="AG24" s="85">
        <f t="shared" si="43"/>
        <v>0</v>
      </c>
      <c r="AH24" s="85"/>
      <c r="AI24" s="85">
        <f t="shared" ref="AI24:AJ26" si="44">AI27+AI42+AI57+AI84+AI87+AI90+AI93+AI96+AI99</f>
        <v>0</v>
      </c>
      <c r="AJ24" s="85">
        <f t="shared" si="44"/>
        <v>0</v>
      </c>
      <c r="AK24" s="85"/>
      <c r="AL24" s="85">
        <f t="shared" ref="AL24:AM26" si="45">AL27+AL42+AL57+AL84+AL87+AL90+AL93+AL96+AL99</f>
        <v>0</v>
      </c>
      <c r="AM24" s="85">
        <f t="shared" si="45"/>
        <v>0</v>
      </c>
      <c r="AN24" s="85"/>
      <c r="AO24" s="85">
        <f t="shared" ref="AO24:AP26" si="46">AO27+AO42+AO57+AO84+AO87+AO90+AO93+AO96+AO99</f>
        <v>0</v>
      </c>
      <c r="AP24" s="85">
        <f t="shared" si="46"/>
        <v>0</v>
      </c>
      <c r="AQ24" s="85"/>
      <c r="AR24" s="93" t="str">
        <f>IF(AI24=0,"",AL24/AI24)</f>
        <v/>
      </c>
      <c r="AS24" s="85">
        <f t="shared" ref="AS24:BL26" si="47">AS27+AS42+AS57+AS84+AS87+AS90+AS93+AS96+AS99</f>
        <v>0</v>
      </c>
      <c r="AT24" s="85">
        <f t="shared" si="47"/>
        <v>0</v>
      </c>
      <c r="AU24" s="85">
        <f t="shared" si="47"/>
        <v>0</v>
      </c>
      <c r="AV24" s="85">
        <f t="shared" si="47"/>
        <v>0</v>
      </c>
      <c r="AW24" s="85">
        <f t="shared" si="47"/>
        <v>0</v>
      </c>
      <c r="AX24" s="85">
        <f t="shared" si="47"/>
        <v>0</v>
      </c>
      <c r="AY24" s="85">
        <f t="shared" si="47"/>
        <v>0</v>
      </c>
      <c r="AZ24" s="85">
        <f t="shared" si="47"/>
        <v>0</v>
      </c>
      <c r="BA24" s="85">
        <f t="shared" si="47"/>
        <v>0</v>
      </c>
      <c r="BB24" s="85">
        <f t="shared" si="47"/>
        <v>0</v>
      </c>
      <c r="BC24" s="85">
        <f t="shared" si="47"/>
        <v>0</v>
      </c>
      <c r="BD24" s="85">
        <f t="shared" si="47"/>
        <v>0</v>
      </c>
      <c r="BE24" s="85">
        <f t="shared" si="47"/>
        <v>0</v>
      </c>
      <c r="BF24" s="85">
        <f t="shared" si="47"/>
        <v>0</v>
      </c>
      <c r="BG24" s="85">
        <f t="shared" si="47"/>
        <v>0</v>
      </c>
      <c r="BH24" s="85">
        <f t="shared" si="47"/>
        <v>0</v>
      </c>
      <c r="BI24" s="85">
        <f t="shared" si="47"/>
        <v>0</v>
      </c>
      <c r="BJ24" s="85">
        <f t="shared" si="47"/>
        <v>0</v>
      </c>
      <c r="BK24" s="85">
        <f t="shared" si="47"/>
        <v>0</v>
      </c>
      <c r="BL24" s="85">
        <f t="shared" si="47"/>
        <v>0</v>
      </c>
      <c r="BM24" s="85"/>
      <c r="BN24" s="85">
        <f>BN27+BN42+BN84+BN99+BN87+BN90+BN93+BN96+BN30+BN33+BN36+BN39+BN48+BN51+BN54+BN57+BN60+BN63+BN66+BN81</f>
        <v>0</v>
      </c>
      <c r="BO24" s="85">
        <f>BO27+BO42+BO84+BO99+BO87+BO90+BO93+BO96+BO30+BO33+BO36+BO39+BO48+BO51+BO54+BO57+BO60+BO63+BO66+BO81</f>
        <v>0</v>
      </c>
      <c r="BP24" s="85">
        <f>BP27+BP42+BP84+BP99+BP87+BP90+BP93+BP96+BP30+BP33+BP36+BP39+BP48+BP51+BP54+BP57+BP60+BP63+BP66+BP81</f>
        <v>0</v>
      </c>
      <c r="BQ24" s="85">
        <f>BQ27+BQ42+BQ84+BQ99+BQ87+BQ90+BQ93+BQ96+BQ30+BQ33+BQ36+BQ39+BQ48+BQ51+BQ54+BQ57+BQ60+BQ63+BQ66+BQ81</f>
        <v>0</v>
      </c>
      <c r="BR24" s="96"/>
      <c r="BS24" s="96"/>
      <c r="BT24" s="96"/>
      <c r="BW24" s="98">
        <f>SUM(AY24:BL24)</f>
        <v>0</v>
      </c>
      <c r="BX24" s="99">
        <f>AO24-BW24</f>
        <v>0</v>
      </c>
    </row>
    <row r="25" spans="1:76" s="97" customFormat="1" ht="27" hidden="1" customHeight="1" outlineLevel="1" x14ac:dyDescent="0.25">
      <c r="A25" s="349"/>
      <c r="B25" s="351"/>
      <c r="C25" s="84" t="s">
        <v>71</v>
      </c>
      <c r="D25" s="84" t="s">
        <v>72</v>
      </c>
      <c r="E25" s="85">
        <f t="shared" si="36"/>
        <v>0</v>
      </c>
      <c r="F25" s="85">
        <f t="shared" si="36"/>
        <v>0</v>
      </c>
      <c r="G25" s="86"/>
      <c r="H25" s="85"/>
      <c r="I25" s="85">
        <f t="shared" si="37"/>
        <v>0</v>
      </c>
      <c r="J25" s="85">
        <f t="shared" si="37"/>
        <v>0</v>
      </c>
      <c r="K25" s="88"/>
      <c r="L25" s="89"/>
      <c r="M25" s="90"/>
      <c r="N25" s="137">
        <f t="shared" si="38"/>
        <v>0</v>
      </c>
      <c r="O25" s="137">
        <f t="shared" si="38"/>
        <v>0</v>
      </c>
      <c r="P25" s="137">
        <f t="shared" si="38"/>
        <v>0</v>
      </c>
      <c r="Q25" s="137">
        <f t="shared" si="38"/>
        <v>0</v>
      </c>
      <c r="R25" s="92"/>
      <c r="S25" s="85"/>
      <c r="T25" s="85">
        <f t="shared" si="39"/>
        <v>0</v>
      </c>
      <c r="U25" s="85">
        <f t="shared" si="39"/>
        <v>0</v>
      </c>
      <c r="V25" s="85"/>
      <c r="W25" s="85">
        <f t="shared" si="40"/>
        <v>0</v>
      </c>
      <c r="X25" s="85">
        <f t="shared" si="40"/>
        <v>0</v>
      </c>
      <c r="Y25" s="85"/>
      <c r="Z25" s="85">
        <f t="shared" si="41"/>
        <v>0</v>
      </c>
      <c r="AA25" s="85">
        <f t="shared" si="41"/>
        <v>0</v>
      </c>
      <c r="AB25" s="85"/>
      <c r="AC25" s="85">
        <f t="shared" si="42"/>
        <v>0</v>
      </c>
      <c r="AD25" s="85">
        <f t="shared" si="42"/>
        <v>0</v>
      </c>
      <c r="AE25" s="85"/>
      <c r="AF25" s="85">
        <f t="shared" si="43"/>
        <v>0</v>
      </c>
      <c r="AG25" s="85">
        <f t="shared" si="43"/>
        <v>0</v>
      </c>
      <c r="AH25" s="85"/>
      <c r="AI25" s="85">
        <f t="shared" si="44"/>
        <v>0</v>
      </c>
      <c r="AJ25" s="85">
        <f t="shared" si="44"/>
        <v>0</v>
      </c>
      <c r="AK25" s="85"/>
      <c r="AL25" s="85">
        <f t="shared" si="45"/>
        <v>0</v>
      </c>
      <c r="AM25" s="85">
        <f t="shared" si="45"/>
        <v>0</v>
      </c>
      <c r="AN25" s="85"/>
      <c r="AO25" s="85">
        <f t="shared" si="46"/>
        <v>0</v>
      </c>
      <c r="AP25" s="85">
        <f t="shared" si="46"/>
        <v>0</v>
      </c>
      <c r="AQ25" s="85"/>
      <c r="AR25" s="93" t="str">
        <f>IF(AI25=0,"",AL25/AI25)</f>
        <v/>
      </c>
      <c r="AS25" s="85">
        <f t="shared" si="47"/>
        <v>0</v>
      </c>
      <c r="AT25" s="85">
        <f t="shared" si="47"/>
        <v>0</v>
      </c>
      <c r="AU25" s="85">
        <f t="shared" si="47"/>
        <v>0</v>
      </c>
      <c r="AV25" s="85">
        <f t="shared" si="47"/>
        <v>0</v>
      </c>
      <c r="AW25" s="85">
        <f t="shared" si="47"/>
        <v>0</v>
      </c>
      <c r="AX25" s="85">
        <f t="shared" si="47"/>
        <v>0</v>
      </c>
      <c r="AY25" s="85">
        <f t="shared" si="47"/>
        <v>0</v>
      </c>
      <c r="AZ25" s="85">
        <f t="shared" si="47"/>
        <v>0</v>
      </c>
      <c r="BA25" s="85">
        <f t="shared" si="47"/>
        <v>0</v>
      </c>
      <c r="BB25" s="85">
        <f t="shared" si="47"/>
        <v>0</v>
      </c>
      <c r="BC25" s="85">
        <f t="shared" si="47"/>
        <v>0</v>
      </c>
      <c r="BD25" s="85">
        <f t="shared" si="47"/>
        <v>0</v>
      </c>
      <c r="BE25" s="85">
        <f t="shared" si="47"/>
        <v>0</v>
      </c>
      <c r="BF25" s="85">
        <f t="shared" si="47"/>
        <v>0</v>
      </c>
      <c r="BG25" s="85">
        <f t="shared" si="47"/>
        <v>0</v>
      </c>
      <c r="BH25" s="85">
        <f t="shared" si="47"/>
        <v>0</v>
      </c>
      <c r="BI25" s="85">
        <f t="shared" si="47"/>
        <v>0</v>
      </c>
      <c r="BJ25" s="85">
        <f t="shared" si="47"/>
        <v>0</v>
      </c>
      <c r="BK25" s="85">
        <f t="shared" si="47"/>
        <v>0</v>
      </c>
      <c r="BL25" s="85">
        <f t="shared" si="47"/>
        <v>0</v>
      </c>
      <c r="BM25" s="85"/>
      <c r="BN25" s="85">
        <f t="shared" ref="BN25:BQ25" si="48">BN26</f>
        <v>0</v>
      </c>
      <c r="BO25" s="85">
        <f t="shared" si="48"/>
        <v>0</v>
      </c>
      <c r="BP25" s="85">
        <f t="shared" si="48"/>
        <v>0</v>
      </c>
      <c r="BQ25" s="85">
        <f t="shared" si="48"/>
        <v>0</v>
      </c>
      <c r="BR25" s="96"/>
      <c r="BS25" s="96"/>
      <c r="BT25" s="96"/>
      <c r="BW25" s="100"/>
      <c r="BX25" s="101"/>
    </row>
    <row r="26" spans="1:76" s="114" customFormat="1" ht="27" hidden="1" customHeight="1" outlineLevel="1" x14ac:dyDescent="0.25">
      <c r="A26" s="349"/>
      <c r="B26" s="351"/>
      <c r="C26" s="102" t="s">
        <v>71</v>
      </c>
      <c r="D26" s="102" t="s">
        <v>73</v>
      </c>
      <c r="E26" s="103">
        <f t="shared" si="36"/>
        <v>0</v>
      </c>
      <c r="F26" s="103">
        <f t="shared" si="36"/>
        <v>0</v>
      </c>
      <c r="G26" s="104"/>
      <c r="H26" s="103"/>
      <c r="I26" s="103">
        <f t="shared" si="37"/>
        <v>0</v>
      </c>
      <c r="J26" s="103">
        <f t="shared" si="37"/>
        <v>0</v>
      </c>
      <c r="K26" s="106"/>
      <c r="L26" s="107"/>
      <c r="M26" s="108"/>
      <c r="N26" s="138">
        <f t="shared" si="38"/>
        <v>0</v>
      </c>
      <c r="O26" s="138">
        <f t="shared" si="38"/>
        <v>0</v>
      </c>
      <c r="P26" s="138">
        <f t="shared" si="38"/>
        <v>0</v>
      </c>
      <c r="Q26" s="138">
        <f t="shared" si="38"/>
        <v>0</v>
      </c>
      <c r="R26" s="110"/>
      <c r="S26" s="103"/>
      <c r="T26" s="103">
        <f t="shared" si="39"/>
        <v>0</v>
      </c>
      <c r="U26" s="103">
        <f t="shared" si="39"/>
        <v>0</v>
      </c>
      <c r="V26" s="103"/>
      <c r="W26" s="103">
        <f t="shared" si="40"/>
        <v>0</v>
      </c>
      <c r="X26" s="103">
        <f t="shared" si="40"/>
        <v>0</v>
      </c>
      <c r="Y26" s="103"/>
      <c r="Z26" s="103">
        <f t="shared" si="41"/>
        <v>0</v>
      </c>
      <c r="AA26" s="103">
        <f t="shared" si="41"/>
        <v>0</v>
      </c>
      <c r="AB26" s="103"/>
      <c r="AC26" s="103">
        <f t="shared" si="42"/>
        <v>0</v>
      </c>
      <c r="AD26" s="103">
        <f t="shared" si="42"/>
        <v>0</v>
      </c>
      <c r="AE26" s="103"/>
      <c r="AF26" s="103">
        <f t="shared" si="43"/>
        <v>0</v>
      </c>
      <c r="AG26" s="103">
        <f t="shared" si="43"/>
        <v>0</v>
      </c>
      <c r="AH26" s="103"/>
      <c r="AI26" s="103">
        <f t="shared" si="44"/>
        <v>0</v>
      </c>
      <c r="AJ26" s="103">
        <f t="shared" si="44"/>
        <v>0</v>
      </c>
      <c r="AK26" s="103"/>
      <c r="AL26" s="103">
        <f>AL29+AL44+AL59+AL86+AL89+AL92+AL95+AL98+AL101</f>
        <v>0</v>
      </c>
      <c r="AM26" s="103">
        <f t="shared" si="45"/>
        <v>0</v>
      </c>
      <c r="AN26" s="103"/>
      <c r="AO26" s="103">
        <f t="shared" si="46"/>
        <v>0</v>
      </c>
      <c r="AP26" s="103">
        <f t="shared" si="46"/>
        <v>0</v>
      </c>
      <c r="AQ26" s="103"/>
      <c r="AR26" s="111" t="str">
        <f t="shared" ref="AR26:AR102" si="49">IF(AI26=0,"",AL26/AI26)</f>
        <v/>
      </c>
      <c r="AS26" s="103">
        <f t="shared" si="47"/>
        <v>0</v>
      </c>
      <c r="AT26" s="103">
        <f t="shared" si="47"/>
        <v>0</v>
      </c>
      <c r="AU26" s="103">
        <f t="shared" si="47"/>
        <v>0</v>
      </c>
      <c r="AV26" s="103">
        <f t="shared" si="47"/>
        <v>0</v>
      </c>
      <c r="AW26" s="103">
        <f t="shared" si="47"/>
        <v>0</v>
      </c>
      <c r="AX26" s="103">
        <f t="shared" si="47"/>
        <v>0</v>
      </c>
      <c r="AY26" s="103">
        <f t="shared" si="47"/>
        <v>0</v>
      </c>
      <c r="AZ26" s="103">
        <f t="shared" si="47"/>
        <v>0</v>
      </c>
      <c r="BA26" s="103">
        <f t="shared" si="47"/>
        <v>0</v>
      </c>
      <c r="BB26" s="103">
        <f t="shared" si="47"/>
        <v>0</v>
      </c>
      <c r="BC26" s="103">
        <f t="shared" si="47"/>
        <v>0</v>
      </c>
      <c r="BD26" s="103">
        <f t="shared" si="47"/>
        <v>0</v>
      </c>
      <c r="BE26" s="103">
        <f t="shared" si="47"/>
        <v>0</v>
      </c>
      <c r="BF26" s="103">
        <f t="shared" si="47"/>
        <v>0</v>
      </c>
      <c r="BG26" s="103">
        <f t="shared" si="47"/>
        <v>0</v>
      </c>
      <c r="BH26" s="103">
        <f t="shared" si="47"/>
        <v>0</v>
      </c>
      <c r="BI26" s="103">
        <f t="shared" si="47"/>
        <v>0</v>
      </c>
      <c r="BJ26" s="103">
        <f t="shared" si="47"/>
        <v>0</v>
      </c>
      <c r="BK26" s="103">
        <f t="shared" si="47"/>
        <v>0</v>
      </c>
      <c r="BL26" s="103">
        <f t="shared" si="47"/>
        <v>0</v>
      </c>
      <c r="BM26" s="103"/>
      <c r="BN26" s="103">
        <f>BN29+BN44+BN86+BN101+BN102+BN89+BN92+BN95+BN98+BN32+BN35+BN38+BN41+BN50+BN53+BN56+BN59+BN62+BN65+BN68+BN83</f>
        <v>0</v>
      </c>
      <c r="BO26" s="103">
        <f>BO29+BO44+BO86+BO101+BO102+BO89+BO92+BO95+BO98+BO32+BO35+BO38+BO41+BO50+BO53+BO56+BO59+BO62+BO65+BO68+BO83</f>
        <v>0</v>
      </c>
      <c r="BP26" s="103">
        <f>BP29+BP44+BP86+BP101+BP102+BP89+BP92+BP95+BP98+BP32+BP35+BP38+BP41+BP50+BP53+BP56+BP59+BP62+BP65+BP68+BP83</f>
        <v>0</v>
      </c>
      <c r="BQ26" s="103">
        <f>BQ29+BQ44+BQ86+BQ101+BQ102+BQ89+BQ92+BQ95+BQ98+BQ32+BQ35+BQ38+BQ41+BQ50+BQ53+BQ56+BQ59+BQ62+BQ65+BQ68+BQ83</f>
        <v>0</v>
      </c>
      <c r="BR26" s="113"/>
      <c r="BS26" s="113"/>
      <c r="BT26" s="113"/>
      <c r="BW26" s="115"/>
      <c r="BX26" s="116"/>
    </row>
    <row r="27" spans="1:76" s="97" customFormat="1" ht="12.75" hidden="1" customHeight="1" outlineLevel="1" x14ac:dyDescent="0.25">
      <c r="A27" s="355"/>
      <c r="B27" s="353" t="s">
        <v>79</v>
      </c>
      <c r="C27" s="117" t="s">
        <v>69</v>
      </c>
      <c r="D27" s="117" t="s">
        <v>70</v>
      </c>
      <c r="E27" s="118">
        <f>I27</f>
        <v>0</v>
      </c>
      <c r="F27" s="119">
        <f t="shared" ref="F27:F102" si="50">E27*1.12</f>
        <v>0</v>
      </c>
      <c r="G27" s="464"/>
      <c r="H27" s="376"/>
      <c r="I27" s="119"/>
      <c r="J27" s="119">
        <f t="shared" ref="J27:J102" si="51">I27*1.12</f>
        <v>0</v>
      </c>
      <c r="K27" s="467"/>
      <c r="L27" s="353"/>
      <c r="M27" s="453"/>
      <c r="N27" s="120">
        <f>O27/1.12</f>
        <v>0</v>
      </c>
      <c r="O27" s="120"/>
      <c r="P27" s="120">
        <f t="shared" ref="P27:Q101" si="52">N27</f>
        <v>0</v>
      </c>
      <c r="Q27" s="120">
        <f t="shared" si="52"/>
        <v>0</v>
      </c>
      <c r="R27" s="456"/>
      <c r="S27" s="376"/>
      <c r="T27" s="37"/>
      <c r="U27" s="37"/>
      <c r="V27" s="37"/>
      <c r="W27" s="37"/>
      <c r="X27" s="37"/>
      <c r="Y27" s="37"/>
      <c r="Z27" s="119"/>
      <c r="AA27" s="119"/>
      <c r="AB27" s="119"/>
      <c r="AC27" s="119"/>
      <c r="AD27" s="119"/>
      <c r="AE27" s="119"/>
      <c r="AF27" s="119">
        <f>Z27+AC27+W27+T27</f>
        <v>0</v>
      </c>
      <c r="AG27" s="119">
        <f t="shared" ref="AG27:AG101" si="53">AA27+AD27+X27+U27</f>
        <v>0</v>
      </c>
      <c r="AH27" s="119"/>
      <c r="AI27" s="119"/>
      <c r="AJ27" s="119">
        <f t="shared" ref="AJ27:AJ98" si="54">AI27*1.12</f>
        <v>0</v>
      </c>
      <c r="AK27" s="119"/>
      <c r="AL27" s="119"/>
      <c r="AM27" s="118">
        <f t="shared" ref="AM27:AM102" si="55">AL27*1.12</f>
        <v>0</v>
      </c>
      <c r="AN27" s="119"/>
      <c r="AO27" s="118">
        <f>AL27-AI27</f>
        <v>0</v>
      </c>
      <c r="AP27" s="118">
        <f>AM27-AJ27</f>
        <v>0</v>
      </c>
      <c r="AQ27" s="118"/>
      <c r="AR27" s="121" t="str">
        <f t="shared" si="49"/>
        <v/>
      </c>
      <c r="AS27" s="122"/>
      <c r="AT27" s="122"/>
      <c r="AU27" s="122"/>
      <c r="AV27" s="118">
        <f>I27</f>
        <v>0</v>
      </c>
      <c r="AW27" s="118">
        <f>AV27</f>
        <v>0</v>
      </c>
      <c r="AX27" s="118"/>
      <c r="AY27" s="118"/>
      <c r="AZ27" s="118"/>
      <c r="BA27" s="118"/>
      <c r="BB27" s="118"/>
      <c r="BC27" s="118"/>
      <c r="BD27" s="118"/>
      <c r="BE27" s="118"/>
      <c r="BF27" s="118"/>
      <c r="BG27" s="118"/>
      <c r="BH27" s="118"/>
      <c r="BI27" s="118"/>
      <c r="BJ27" s="118"/>
      <c r="BK27" s="118"/>
      <c r="BL27" s="118">
        <f>AL27-AI27</f>
        <v>0</v>
      </c>
      <c r="BM27" s="357"/>
      <c r="BN27" s="123"/>
      <c r="BO27" s="123"/>
      <c r="BP27" s="123"/>
      <c r="BQ27" s="123"/>
      <c r="BR27" s="123"/>
      <c r="BS27" s="123"/>
      <c r="BT27" s="123"/>
      <c r="BW27" s="100"/>
      <c r="BX27" s="101"/>
    </row>
    <row r="28" spans="1:76" s="97" customFormat="1" hidden="1" outlineLevel="1" x14ac:dyDescent="0.25">
      <c r="A28" s="416"/>
      <c r="B28" s="375"/>
      <c r="C28" s="117" t="s">
        <v>71</v>
      </c>
      <c r="D28" s="117" t="s">
        <v>72</v>
      </c>
      <c r="E28" s="118">
        <f t="shared" ref="E28:E101" si="56">I28</f>
        <v>0</v>
      </c>
      <c r="F28" s="119">
        <f t="shared" si="50"/>
        <v>0</v>
      </c>
      <c r="G28" s="465"/>
      <c r="H28" s="377"/>
      <c r="I28" s="119"/>
      <c r="J28" s="119">
        <f t="shared" si="51"/>
        <v>0</v>
      </c>
      <c r="K28" s="468"/>
      <c r="L28" s="375"/>
      <c r="M28" s="454"/>
      <c r="N28" s="120">
        <f>N27</f>
        <v>0</v>
      </c>
      <c r="O28" s="120">
        <f>O27</f>
        <v>0</v>
      </c>
      <c r="P28" s="120">
        <f t="shared" si="52"/>
        <v>0</v>
      </c>
      <c r="Q28" s="120">
        <f t="shared" si="52"/>
        <v>0</v>
      </c>
      <c r="R28" s="457"/>
      <c r="S28" s="377"/>
      <c r="T28" s="37"/>
      <c r="U28" s="37"/>
      <c r="V28" s="37"/>
      <c r="W28" s="37"/>
      <c r="X28" s="37"/>
      <c r="Y28" s="37"/>
      <c r="Z28" s="119"/>
      <c r="AA28" s="119"/>
      <c r="AB28" s="119"/>
      <c r="AC28" s="119"/>
      <c r="AD28" s="119"/>
      <c r="AE28" s="119"/>
      <c r="AF28" s="119">
        <f t="shared" ref="AF28:AF101" si="57">Z28+AC28+W28+T28</f>
        <v>0</v>
      </c>
      <c r="AG28" s="119">
        <f t="shared" si="53"/>
        <v>0</v>
      </c>
      <c r="AH28" s="119"/>
      <c r="AI28" s="119"/>
      <c r="AJ28" s="119">
        <f t="shared" si="54"/>
        <v>0</v>
      </c>
      <c r="AK28" s="119"/>
      <c r="AL28" s="119"/>
      <c r="AM28" s="118">
        <f t="shared" si="55"/>
        <v>0</v>
      </c>
      <c r="AN28" s="119"/>
      <c r="AO28" s="118">
        <f t="shared" ref="AO28:AP29" si="58">AL28-AI28</f>
        <v>0</v>
      </c>
      <c r="AP28" s="118">
        <f t="shared" si="58"/>
        <v>0</v>
      </c>
      <c r="AQ28" s="118"/>
      <c r="AR28" s="121" t="str">
        <f t="shared" si="49"/>
        <v/>
      </c>
      <c r="AS28" s="122"/>
      <c r="AT28" s="122"/>
      <c r="AU28" s="122"/>
      <c r="AV28" s="118">
        <f>I28</f>
        <v>0</v>
      </c>
      <c r="AW28" s="118">
        <f t="shared" ref="AW28:AW29" si="59">AV28*1.12</f>
        <v>0</v>
      </c>
      <c r="AX28" s="118"/>
      <c r="AY28" s="118"/>
      <c r="AZ28" s="118"/>
      <c r="BA28" s="118"/>
      <c r="BB28" s="118"/>
      <c r="BC28" s="118"/>
      <c r="BD28" s="118"/>
      <c r="BE28" s="118"/>
      <c r="BF28" s="118"/>
      <c r="BG28" s="118"/>
      <c r="BH28" s="118"/>
      <c r="BI28" s="118"/>
      <c r="BJ28" s="118"/>
      <c r="BK28" s="118"/>
      <c r="BL28" s="118"/>
      <c r="BM28" s="459"/>
      <c r="BN28" s="123"/>
      <c r="BO28" s="123"/>
      <c r="BP28" s="123"/>
      <c r="BQ28" s="123"/>
      <c r="BR28" s="123"/>
      <c r="BS28" s="123"/>
      <c r="BT28" s="123"/>
      <c r="BW28" s="100"/>
      <c r="BX28" s="101"/>
    </row>
    <row r="29" spans="1:76" hidden="1" outlineLevel="1" x14ac:dyDescent="0.25">
      <c r="A29" s="416"/>
      <c r="B29" s="375"/>
      <c r="C29" s="124" t="s">
        <v>71</v>
      </c>
      <c r="D29" s="124" t="s">
        <v>73</v>
      </c>
      <c r="E29" s="125">
        <f t="shared" si="56"/>
        <v>0</v>
      </c>
      <c r="F29" s="126">
        <f t="shared" si="50"/>
        <v>0</v>
      </c>
      <c r="G29" s="466"/>
      <c r="H29" s="378"/>
      <c r="I29" s="126">
        <f>I28</f>
        <v>0</v>
      </c>
      <c r="J29" s="126">
        <f t="shared" si="51"/>
        <v>0</v>
      </c>
      <c r="K29" s="469"/>
      <c r="L29" s="354"/>
      <c r="M29" s="455"/>
      <c r="N29" s="127">
        <f>N28</f>
        <v>0</v>
      </c>
      <c r="O29" s="127">
        <f>O28</f>
        <v>0</v>
      </c>
      <c r="P29" s="127">
        <f t="shared" si="52"/>
        <v>0</v>
      </c>
      <c r="Q29" s="127">
        <f t="shared" si="52"/>
        <v>0</v>
      </c>
      <c r="R29" s="458"/>
      <c r="S29" s="378"/>
      <c r="T29" s="37"/>
      <c r="U29" s="37"/>
      <c r="V29" s="37"/>
      <c r="W29" s="37"/>
      <c r="X29" s="37"/>
      <c r="Y29" s="37"/>
      <c r="Z29" s="126"/>
      <c r="AA29" s="126"/>
      <c r="AB29" s="126"/>
      <c r="AC29" s="126"/>
      <c r="AD29" s="126"/>
      <c r="AE29" s="126"/>
      <c r="AF29" s="126">
        <f t="shared" si="57"/>
        <v>0</v>
      </c>
      <c r="AG29" s="126">
        <f t="shared" si="53"/>
        <v>0</v>
      </c>
      <c r="AH29" s="126"/>
      <c r="AI29" s="126">
        <f>AI28</f>
        <v>0</v>
      </c>
      <c r="AJ29" s="126">
        <f t="shared" si="54"/>
        <v>0</v>
      </c>
      <c r="AK29" s="126"/>
      <c r="AL29" s="126"/>
      <c r="AM29" s="125">
        <f t="shared" si="55"/>
        <v>0</v>
      </c>
      <c r="AN29" s="126"/>
      <c r="AO29" s="125">
        <f t="shared" si="58"/>
        <v>0</v>
      </c>
      <c r="AP29" s="125">
        <f t="shared" si="58"/>
        <v>0</v>
      </c>
      <c r="AQ29" s="125"/>
      <c r="AR29" s="128" t="str">
        <f t="shared" si="49"/>
        <v/>
      </c>
      <c r="AS29" s="129"/>
      <c r="AT29" s="129"/>
      <c r="AU29" s="129"/>
      <c r="AV29" s="125">
        <f>AV28</f>
        <v>0</v>
      </c>
      <c r="AW29" s="125">
        <f t="shared" si="59"/>
        <v>0</v>
      </c>
      <c r="AX29" s="125"/>
      <c r="AY29" s="125"/>
      <c r="AZ29" s="125"/>
      <c r="BA29" s="125"/>
      <c r="BB29" s="125"/>
      <c r="BC29" s="125"/>
      <c r="BD29" s="125"/>
      <c r="BE29" s="125"/>
      <c r="BF29" s="125"/>
      <c r="BG29" s="125"/>
      <c r="BH29" s="125"/>
      <c r="BI29" s="125"/>
      <c r="BJ29" s="125"/>
      <c r="BK29" s="125"/>
      <c r="BL29" s="125"/>
      <c r="BM29" s="358"/>
      <c r="BN29" s="130"/>
      <c r="BO29" s="130"/>
      <c r="BP29" s="130"/>
      <c r="BQ29" s="130"/>
      <c r="BR29" s="130"/>
      <c r="BS29" s="130"/>
      <c r="BT29" s="130"/>
      <c r="BW29" s="25"/>
      <c r="BX29" s="26"/>
    </row>
    <row r="30" spans="1:76" hidden="1" outlineLevel="1" x14ac:dyDescent="0.25">
      <c r="A30" s="416"/>
      <c r="B30" s="375"/>
      <c r="C30" s="117" t="s">
        <v>69</v>
      </c>
      <c r="D30" s="117" t="s">
        <v>70</v>
      </c>
      <c r="E30" s="118"/>
      <c r="F30" s="119"/>
      <c r="G30" s="464"/>
      <c r="H30" s="376"/>
      <c r="I30" s="119"/>
      <c r="J30" s="119"/>
      <c r="K30" s="467"/>
      <c r="L30" s="353"/>
      <c r="M30" s="453"/>
      <c r="N30" s="120">
        <f>O30/1.12</f>
        <v>0</v>
      </c>
      <c r="O30" s="120"/>
      <c r="P30" s="120">
        <f t="shared" si="52"/>
        <v>0</v>
      </c>
      <c r="Q30" s="120">
        <f t="shared" si="52"/>
        <v>0</v>
      </c>
      <c r="R30" s="456"/>
      <c r="S30" s="376"/>
      <c r="T30" s="37"/>
      <c r="U30" s="37"/>
      <c r="V30" s="37"/>
      <c r="W30" s="37"/>
      <c r="X30" s="37"/>
      <c r="Y30" s="37"/>
      <c r="Z30" s="119"/>
      <c r="AA30" s="119"/>
      <c r="AB30" s="119"/>
      <c r="AC30" s="119"/>
      <c r="AD30" s="119"/>
      <c r="AE30" s="119"/>
      <c r="AF30" s="119">
        <f>Z30+AC30+W30+T30</f>
        <v>0</v>
      </c>
      <c r="AG30" s="119">
        <f t="shared" si="53"/>
        <v>0</v>
      </c>
      <c r="AH30" s="119"/>
      <c r="AI30" s="119"/>
      <c r="AJ30" s="119">
        <f t="shared" si="54"/>
        <v>0</v>
      </c>
      <c r="AK30" s="119"/>
      <c r="AL30" s="119"/>
      <c r="AM30" s="118">
        <f t="shared" si="55"/>
        <v>0</v>
      </c>
      <c r="AN30" s="119"/>
      <c r="AO30" s="118">
        <f>AL30-AI30</f>
        <v>0</v>
      </c>
      <c r="AP30" s="118">
        <f>AM30-AJ30</f>
        <v>0</v>
      </c>
      <c r="AQ30" s="118"/>
      <c r="AR30" s="121" t="str">
        <f t="shared" si="49"/>
        <v/>
      </c>
      <c r="AS30" s="122"/>
      <c r="AT30" s="122"/>
      <c r="AU30" s="122"/>
      <c r="AV30" s="118"/>
      <c r="AW30" s="118">
        <f>AV30</f>
        <v>0</v>
      </c>
      <c r="AX30" s="118"/>
      <c r="AY30" s="118"/>
      <c r="AZ30" s="118"/>
      <c r="BA30" s="118"/>
      <c r="BB30" s="118"/>
      <c r="BC30" s="118"/>
      <c r="BD30" s="118"/>
      <c r="BE30" s="118"/>
      <c r="BF30" s="118"/>
      <c r="BG30" s="118"/>
      <c r="BH30" s="118"/>
      <c r="BI30" s="118"/>
      <c r="BJ30" s="118"/>
      <c r="BK30" s="118"/>
      <c r="BL30" s="118"/>
      <c r="BM30" s="357"/>
      <c r="BN30" s="123"/>
      <c r="BO30" s="123"/>
      <c r="BP30" s="123"/>
      <c r="BQ30" s="123"/>
      <c r="BR30" s="123"/>
      <c r="BS30" s="123"/>
      <c r="BT30" s="123"/>
      <c r="BU30" s="97"/>
      <c r="BV30" s="97"/>
      <c r="BW30" s="100"/>
      <c r="BX30" s="101"/>
    </row>
    <row r="31" spans="1:76" hidden="1" outlineLevel="1" x14ac:dyDescent="0.25">
      <c r="A31" s="416"/>
      <c r="B31" s="375"/>
      <c r="C31" s="117" t="s">
        <v>71</v>
      </c>
      <c r="D31" s="117" t="s">
        <v>72</v>
      </c>
      <c r="E31" s="118"/>
      <c r="F31" s="119"/>
      <c r="G31" s="465"/>
      <c r="H31" s="377"/>
      <c r="I31" s="119"/>
      <c r="J31" s="119"/>
      <c r="K31" s="468"/>
      <c r="L31" s="375"/>
      <c r="M31" s="454"/>
      <c r="N31" s="120">
        <f>N30</f>
        <v>0</v>
      </c>
      <c r="O31" s="120">
        <f>O30</f>
        <v>0</v>
      </c>
      <c r="P31" s="120">
        <f t="shared" si="52"/>
        <v>0</v>
      </c>
      <c r="Q31" s="120">
        <f t="shared" si="52"/>
        <v>0</v>
      </c>
      <c r="R31" s="457"/>
      <c r="S31" s="377"/>
      <c r="T31" s="37"/>
      <c r="U31" s="37"/>
      <c r="V31" s="37"/>
      <c r="W31" s="37"/>
      <c r="X31" s="37"/>
      <c r="Y31" s="37"/>
      <c r="Z31" s="119"/>
      <c r="AA31" s="119"/>
      <c r="AB31" s="119"/>
      <c r="AC31" s="119"/>
      <c r="AD31" s="119"/>
      <c r="AE31" s="119"/>
      <c r="AF31" s="119">
        <f t="shared" ref="AF31:AF32" si="60">Z31+AC31+W31+T31</f>
        <v>0</v>
      </c>
      <c r="AG31" s="119">
        <f t="shared" si="53"/>
        <v>0</v>
      </c>
      <c r="AH31" s="119"/>
      <c r="AI31" s="119"/>
      <c r="AJ31" s="119">
        <f t="shared" si="54"/>
        <v>0</v>
      </c>
      <c r="AK31" s="119"/>
      <c r="AL31" s="119"/>
      <c r="AM31" s="118">
        <f t="shared" si="55"/>
        <v>0</v>
      </c>
      <c r="AN31" s="119"/>
      <c r="AO31" s="118">
        <f t="shared" ref="AO31:AP32" si="61">AL31-AI31</f>
        <v>0</v>
      </c>
      <c r="AP31" s="118">
        <f t="shared" si="61"/>
        <v>0</v>
      </c>
      <c r="AQ31" s="118"/>
      <c r="AR31" s="121" t="str">
        <f t="shared" si="49"/>
        <v/>
      </c>
      <c r="AS31" s="122"/>
      <c r="AT31" s="122"/>
      <c r="AU31" s="122"/>
      <c r="AV31" s="118">
        <f>AV30</f>
        <v>0</v>
      </c>
      <c r="AW31" s="118">
        <f t="shared" ref="AW31:AW32" si="62">AV31*1.12</f>
        <v>0</v>
      </c>
      <c r="AX31" s="118"/>
      <c r="AY31" s="118"/>
      <c r="AZ31" s="118"/>
      <c r="BA31" s="118"/>
      <c r="BB31" s="118"/>
      <c r="BC31" s="118"/>
      <c r="BD31" s="118"/>
      <c r="BE31" s="118"/>
      <c r="BF31" s="118"/>
      <c r="BG31" s="118"/>
      <c r="BH31" s="118"/>
      <c r="BI31" s="118"/>
      <c r="BJ31" s="118"/>
      <c r="BK31" s="118"/>
      <c r="BL31" s="118"/>
      <c r="BM31" s="459"/>
      <c r="BN31" s="123"/>
      <c r="BO31" s="123"/>
      <c r="BP31" s="123"/>
      <c r="BQ31" s="123"/>
      <c r="BR31" s="123"/>
      <c r="BS31" s="123"/>
      <c r="BT31" s="123"/>
      <c r="BU31" s="97"/>
      <c r="BV31" s="97"/>
      <c r="BW31" s="100"/>
      <c r="BX31" s="101"/>
    </row>
    <row r="32" spans="1:76" hidden="1" outlineLevel="1" x14ac:dyDescent="0.25">
      <c r="A32" s="416"/>
      <c r="B32" s="375"/>
      <c r="C32" s="124" t="s">
        <v>71</v>
      </c>
      <c r="D32" s="124" t="s">
        <v>73</v>
      </c>
      <c r="E32" s="125"/>
      <c r="F32" s="126"/>
      <c r="G32" s="466"/>
      <c r="H32" s="378"/>
      <c r="I32" s="126"/>
      <c r="J32" s="126"/>
      <c r="K32" s="469"/>
      <c r="L32" s="354"/>
      <c r="M32" s="455"/>
      <c r="N32" s="127">
        <f>N31</f>
        <v>0</v>
      </c>
      <c r="O32" s="127">
        <f>O31</f>
        <v>0</v>
      </c>
      <c r="P32" s="127">
        <f t="shared" si="52"/>
        <v>0</v>
      </c>
      <c r="Q32" s="127">
        <f t="shared" si="52"/>
        <v>0</v>
      </c>
      <c r="R32" s="458"/>
      <c r="S32" s="378"/>
      <c r="T32" s="37"/>
      <c r="U32" s="37"/>
      <c r="V32" s="37"/>
      <c r="W32" s="37"/>
      <c r="X32" s="37"/>
      <c r="Y32" s="37"/>
      <c r="Z32" s="126"/>
      <c r="AA32" s="126"/>
      <c r="AB32" s="126"/>
      <c r="AC32" s="126"/>
      <c r="AD32" s="126"/>
      <c r="AE32" s="126"/>
      <c r="AF32" s="126">
        <f t="shared" si="60"/>
        <v>0</v>
      </c>
      <c r="AG32" s="126">
        <f t="shared" si="53"/>
        <v>0</v>
      </c>
      <c r="AH32" s="126"/>
      <c r="AI32" s="126"/>
      <c r="AJ32" s="126">
        <f t="shared" si="54"/>
        <v>0</v>
      </c>
      <c r="AK32" s="126"/>
      <c r="AL32" s="126"/>
      <c r="AM32" s="125">
        <f t="shared" si="55"/>
        <v>0</v>
      </c>
      <c r="AN32" s="126"/>
      <c r="AO32" s="125">
        <f t="shared" si="61"/>
        <v>0</v>
      </c>
      <c r="AP32" s="125">
        <f t="shared" si="61"/>
        <v>0</v>
      </c>
      <c r="AQ32" s="125"/>
      <c r="AR32" s="128" t="str">
        <f t="shared" si="49"/>
        <v/>
      </c>
      <c r="AS32" s="129"/>
      <c r="AT32" s="129"/>
      <c r="AU32" s="129"/>
      <c r="AV32" s="125">
        <f>AV31</f>
        <v>0</v>
      </c>
      <c r="AW32" s="125">
        <f t="shared" si="62"/>
        <v>0</v>
      </c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5"/>
      <c r="BI32" s="125"/>
      <c r="BJ32" s="125"/>
      <c r="BK32" s="125"/>
      <c r="BL32" s="125"/>
      <c r="BM32" s="358"/>
      <c r="BN32" s="130"/>
      <c r="BO32" s="130"/>
      <c r="BP32" s="130"/>
      <c r="BQ32" s="130"/>
      <c r="BR32" s="130"/>
      <c r="BS32" s="130"/>
      <c r="BT32" s="130"/>
      <c r="BW32" s="25"/>
      <c r="BX32" s="26"/>
    </row>
    <row r="33" spans="1:76" hidden="1" outlineLevel="1" x14ac:dyDescent="0.25">
      <c r="A33" s="416"/>
      <c r="B33" s="375"/>
      <c r="C33" s="117" t="s">
        <v>69</v>
      </c>
      <c r="D33" s="117" t="s">
        <v>70</v>
      </c>
      <c r="E33" s="118"/>
      <c r="F33" s="119"/>
      <c r="G33" s="464"/>
      <c r="H33" s="376"/>
      <c r="I33" s="119"/>
      <c r="J33" s="119"/>
      <c r="K33" s="467"/>
      <c r="L33" s="353"/>
      <c r="M33" s="453"/>
      <c r="N33" s="120">
        <f>O33/1.12</f>
        <v>0</v>
      </c>
      <c r="O33" s="120"/>
      <c r="P33" s="120">
        <f t="shared" si="52"/>
        <v>0</v>
      </c>
      <c r="Q33" s="120">
        <f t="shared" si="52"/>
        <v>0</v>
      </c>
      <c r="R33" s="456"/>
      <c r="S33" s="376"/>
      <c r="T33" s="37"/>
      <c r="U33" s="37"/>
      <c r="V33" s="37"/>
      <c r="W33" s="37"/>
      <c r="X33" s="37"/>
      <c r="Y33" s="37"/>
      <c r="Z33" s="119"/>
      <c r="AA33" s="119"/>
      <c r="AB33" s="119"/>
      <c r="AC33" s="119"/>
      <c r="AD33" s="119"/>
      <c r="AE33" s="119"/>
      <c r="AF33" s="119">
        <f>Z33+AC33+W33+T33</f>
        <v>0</v>
      </c>
      <c r="AG33" s="119">
        <f t="shared" si="53"/>
        <v>0</v>
      </c>
      <c r="AH33" s="119"/>
      <c r="AI33" s="119"/>
      <c r="AJ33" s="119">
        <f t="shared" si="54"/>
        <v>0</v>
      </c>
      <c r="AK33" s="119"/>
      <c r="AL33" s="119"/>
      <c r="AM33" s="118">
        <f t="shared" si="55"/>
        <v>0</v>
      </c>
      <c r="AN33" s="119"/>
      <c r="AO33" s="118">
        <f>AL33-AI33</f>
        <v>0</v>
      </c>
      <c r="AP33" s="118">
        <f>AM33-AJ33</f>
        <v>0</v>
      </c>
      <c r="AQ33" s="118"/>
      <c r="AR33" s="121" t="str">
        <f t="shared" si="49"/>
        <v/>
      </c>
      <c r="AS33" s="122"/>
      <c r="AT33" s="122"/>
      <c r="AU33" s="122"/>
      <c r="AV33" s="118"/>
      <c r="AW33" s="118">
        <f>AV33</f>
        <v>0</v>
      </c>
      <c r="AX33" s="118"/>
      <c r="AY33" s="118"/>
      <c r="AZ33" s="118"/>
      <c r="BA33" s="118"/>
      <c r="BB33" s="118"/>
      <c r="BC33" s="118"/>
      <c r="BD33" s="118"/>
      <c r="BE33" s="118"/>
      <c r="BF33" s="118"/>
      <c r="BG33" s="118"/>
      <c r="BH33" s="118"/>
      <c r="BI33" s="118"/>
      <c r="BJ33" s="118"/>
      <c r="BK33" s="118"/>
      <c r="BL33" s="118"/>
      <c r="BM33" s="357"/>
      <c r="BN33" s="123"/>
      <c r="BO33" s="123"/>
      <c r="BP33" s="123"/>
      <c r="BQ33" s="123"/>
      <c r="BR33" s="123"/>
      <c r="BS33" s="123"/>
      <c r="BT33" s="123"/>
      <c r="BU33" s="97"/>
      <c r="BV33" s="97"/>
      <c r="BW33" s="100"/>
      <c r="BX33" s="101"/>
    </row>
    <row r="34" spans="1:76" hidden="1" outlineLevel="1" x14ac:dyDescent="0.25">
      <c r="A34" s="416"/>
      <c r="B34" s="375"/>
      <c r="C34" s="117" t="s">
        <v>71</v>
      </c>
      <c r="D34" s="117" t="s">
        <v>72</v>
      </c>
      <c r="E34" s="118"/>
      <c r="F34" s="119"/>
      <c r="G34" s="465"/>
      <c r="H34" s="377"/>
      <c r="I34" s="119"/>
      <c r="J34" s="119"/>
      <c r="K34" s="468"/>
      <c r="L34" s="375"/>
      <c r="M34" s="454"/>
      <c r="N34" s="120">
        <f>N33</f>
        <v>0</v>
      </c>
      <c r="O34" s="120">
        <f>O33</f>
        <v>0</v>
      </c>
      <c r="P34" s="120">
        <f t="shared" si="52"/>
        <v>0</v>
      </c>
      <c r="Q34" s="120">
        <f t="shared" si="52"/>
        <v>0</v>
      </c>
      <c r="R34" s="457"/>
      <c r="S34" s="377"/>
      <c r="T34" s="37"/>
      <c r="U34" s="37"/>
      <c r="V34" s="37"/>
      <c r="W34" s="37"/>
      <c r="X34" s="37"/>
      <c r="Y34" s="37"/>
      <c r="Z34" s="119"/>
      <c r="AA34" s="119"/>
      <c r="AB34" s="119"/>
      <c r="AC34" s="119"/>
      <c r="AD34" s="119"/>
      <c r="AE34" s="119"/>
      <c r="AF34" s="119">
        <f t="shared" ref="AF34:AF35" si="63">Z34+AC34+W34+T34</f>
        <v>0</v>
      </c>
      <c r="AG34" s="119">
        <f t="shared" si="53"/>
        <v>0</v>
      </c>
      <c r="AH34" s="119"/>
      <c r="AI34" s="119"/>
      <c r="AJ34" s="119">
        <f t="shared" si="54"/>
        <v>0</v>
      </c>
      <c r="AK34" s="119"/>
      <c r="AL34" s="119"/>
      <c r="AM34" s="118">
        <f t="shared" si="55"/>
        <v>0</v>
      </c>
      <c r="AN34" s="119"/>
      <c r="AO34" s="118">
        <f t="shared" ref="AO34:AP35" si="64">AL34-AI34</f>
        <v>0</v>
      </c>
      <c r="AP34" s="118">
        <f t="shared" si="64"/>
        <v>0</v>
      </c>
      <c r="AQ34" s="118"/>
      <c r="AR34" s="121" t="str">
        <f t="shared" si="49"/>
        <v/>
      </c>
      <c r="AS34" s="122"/>
      <c r="AT34" s="122"/>
      <c r="AU34" s="122"/>
      <c r="AV34" s="118">
        <f>AV33</f>
        <v>0</v>
      </c>
      <c r="AW34" s="118">
        <f t="shared" ref="AW34:AW35" si="65">AV34*1.12</f>
        <v>0</v>
      </c>
      <c r="AX34" s="118"/>
      <c r="AY34" s="118"/>
      <c r="AZ34" s="118"/>
      <c r="BA34" s="118"/>
      <c r="BB34" s="118"/>
      <c r="BC34" s="118"/>
      <c r="BD34" s="118"/>
      <c r="BE34" s="118"/>
      <c r="BF34" s="118"/>
      <c r="BG34" s="118"/>
      <c r="BH34" s="118"/>
      <c r="BI34" s="118"/>
      <c r="BJ34" s="118"/>
      <c r="BK34" s="118"/>
      <c r="BL34" s="118"/>
      <c r="BM34" s="459"/>
      <c r="BN34" s="123"/>
      <c r="BO34" s="123"/>
      <c r="BP34" s="123"/>
      <c r="BQ34" s="123"/>
      <c r="BR34" s="123"/>
      <c r="BS34" s="123"/>
      <c r="BT34" s="123"/>
      <c r="BU34" s="97"/>
      <c r="BV34" s="97"/>
      <c r="BW34" s="100"/>
      <c r="BX34" s="101"/>
    </row>
    <row r="35" spans="1:76" hidden="1" outlineLevel="1" x14ac:dyDescent="0.25">
      <c r="A35" s="416"/>
      <c r="B35" s="375"/>
      <c r="C35" s="124" t="s">
        <v>71</v>
      </c>
      <c r="D35" s="124" t="s">
        <v>73</v>
      </c>
      <c r="E35" s="125"/>
      <c r="F35" s="126"/>
      <c r="G35" s="466"/>
      <c r="H35" s="378"/>
      <c r="I35" s="126"/>
      <c r="J35" s="126"/>
      <c r="K35" s="469"/>
      <c r="L35" s="354"/>
      <c r="M35" s="455"/>
      <c r="N35" s="127">
        <f>N34</f>
        <v>0</v>
      </c>
      <c r="O35" s="127">
        <f>O34</f>
        <v>0</v>
      </c>
      <c r="P35" s="127">
        <f t="shared" si="52"/>
        <v>0</v>
      </c>
      <c r="Q35" s="127">
        <f t="shared" si="52"/>
        <v>0</v>
      </c>
      <c r="R35" s="458"/>
      <c r="S35" s="378"/>
      <c r="T35" s="37"/>
      <c r="U35" s="37"/>
      <c r="V35" s="37"/>
      <c r="W35" s="37"/>
      <c r="X35" s="37"/>
      <c r="Y35" s="37"/>
      <c r="Z35" s="126"/>
      <c r="AA35" s="126"/>
      <c r="AB35" s="126"/>
      <c r="AC35" s="126"/>
      <c r="AD35" s="126"/>
      <c r="AE35" s="126"/>
      <c r="AF35" s="126">
        <f t="shared" si="63"/>
        <v>0</v>
      </c>
      <c r="AG35" s="126">
        <f t="shared" si="53"/>
        <v>0</v>
      </c>
      <c r="AH35" s="126"/>
      <c r="AI35" s="126"/>
      <c r="AJ35" s="126">
        <f t="shared" si="54"/>
        <v>0</v>
      </c>
      <c r="AK35" s="126"/>
      <c r="AL35" s="126"/>
      <c r="AM35" s="125">
        <f t="shared" si="55"/>
        <v>0</v>
      </c>
      <c r="AN35" s="126"/>
      <c r="AO35" s="125">
        <f t="shared" si="64"/>
        <v>0</v>
      </c>
      <c r="AP35" s="125">
        <f t="shared" si="64"/>
        <v>0</v>
      </c>
      <c r="AQ35" s="125"/>
      <c r="AR35" s="128" t="str">
        <f t="shared" si="49"/>
        <v/>
      </c>
      <c r="AS35" s="129"/>
      <c r="AT35" s="129"/>
      <c r="AU35" s="129"/>
      <c r="AV35" s="125">
        <f>AV34</f>
        <v>0</v>
      </c>
      <c r="AW35" s="125">
        <f t="shared" si="65"/>
        <v>0</v>
      </c>
      <c r="AX35" s="125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358"/>
      <c r="BN35" s="130"/>
      <c r="BO35" s="130"/>
      <c r="BP35" s="130"/>
      <c r="BQ35" s="130"/>
      <c r="BR35" s="130"/>
      <c r="BS35" s="130"/>
      <c r="BT35" s="130"/>
      <c r="BW35" s="25"/>
      <c r="BX35" s="26"/>
    </row>
    <row r="36" spans="1:76" hidden="1" outlineLevel="1" x14ac:dyDescent="0.25">
      <c r="A36" s="416"/>
      <c r="B36" s="375"/>
      <c r="C36" s="117" t="s">
        <v>69</v>
      </c>
      <c r="D36" s="117" t="s">
        <v>70</v>
      </c>
      <c r="E36" s="118"/>
      <c r="F36" s="119"/>
      <c r="G36" s="464"/>
      <c r="H36" s="376"/>
      <c r="I36" s="119"/>
      <c r="J36" s="119"/>
      <c r="K36" s="467"/>
      <c r="L36" s="353"/>
      <c r="M36" s="453"/>
      <c r="N36" s="120">
        <f>O36/1.12</f>
        <v>0</v>
      </c>
      <c r="O36" s="120"/>
      <c r="P36" s="120">
        <f t="shared" si="52"/>
        <v>0</v>
      </c>
      <c r="Q36" s="120">
        <f t="shared" si="52"/>
        <v>0</v>
      </c>
      <c r="R36" s="456"/>
      <c r="S36" s="376"/>
      <c r="T36" s="37"/>
      <c r="U36" s="37"/>
      <c r="V36" s="37"/>
      <c r="W36" s="37"/>
      <c r="X36" s="37"/>
      <c r="Y36" s="37"/>
      <c r="Z36" s="119"/>
      <c r="AA36" s="119"/>
      <c r="AB36" s="119"/>
      <c r="AC36" s="119"/>
      <c r="AD36" s="119"/>
      <c r="AE36" s="119"/>
      <c r="AF36" s="119">
        <f>Z36+AC36+W36+T36</f>
        <v>0</v>
      </c>
      <c r="AG36" s="119">
        <f t="shared" si="53"/>
        <v>0</v>
      </c>
      <c r="AH36" s="119"/>
      <c r="AI36" s="119"/>
      <c r="AJ36" s="119">
        <f t="shared" si="54"/>
        <v>0</v>
      </c>
      <c r="AK36" s="119"/>
      <c r="AL36" s="119"/>
      <c r="AM36" s="118">
        <f t="shared" si="55"/>
        <v>0</v>
      </c>
      <c r="AN36" s="119"/>
      <c r="AO36" s="118">
        <f>AL36-AI36</f>
        <v>0</v>
      </c>
      <c r="AP36" s="118">
        <f>AM36-AJ36</f>
        <v>0</v>
      </c>
      <c r="AQ36" s="118"/>
      <c r="AR36" s="121" t="str">
        <f t="shared" si="49"/>
        <v/>
      </c>
      <c r="AS36" s="122"/>
      <c r="AT36" s="122"/>
      <c r="AU36" s="122"/>
      <c r="AV36" s="118"/>
      <c r="AW36" s="118">
        <f>AV36</f>
        <v>0</v>
      </c>
      <c r="AX36" s="118"/>
      <c r="AY36" s="118"/>
      <c r="AZ36" s="118"/>
      <c r="BA36" s="118"/>
      <c r="BB36" s="118"/>
      <c r="BC36" s="118"/>
      <c r="BD36" s="118"/>
      <c r="BE36" s="118"/>
      <c r="BF36" s="118"/>
      <c r="BG36" s="118"/>
      <c r="BH36" s="118"/>
      <c r="BI36" s="118"/>
      <c r="BJ36" s="118"/>
      <c r="BK36" s="118"/>
      <c r="BL36" s="118"/>
      <c r="BM36" s="357"/>
      <c r="BN36" s="123"/>
      <c r="BO36" s="123"/>
      <c r="BP36" s="123"/>
      <c r="BQ36" s="123"/>
      <c r="BR36" s="123"/>
      <c r="BS36" s="123"/>
      <c r="BT36" s="123"/>
      <c r="BU36" s="97"/>
      <c r="BV36" s="97"/>
      <c r="BW36" s="100"/>
      <c r="BX36" s="101"/>
    </row>
    <row r="37" spans="1:76" hidden="1" outlineLevel="1" x14ac:dyDescent="0.25">
      <c r="A37" s="416"/>
      <c r="B37" s="375"/>
      <c r="C37" s="117" t="s">
        <v>71</v>
      </c>
      <c r="D37" s="117" t="s">
        <v>72</v>
      </c>
      <c r="E37" s="118"/>
      <c r="F37" s="119"/>
      <c r="G37" s="465"/>
      <c r="H37" s="377"/>
      <c r="I37" s="119"/>
      <c r="J37" s="119"/>
      <c r="K37" s="468"/>
      <c r="L37" s="375"/>
      <c r="M37" s="454"/>
      <c r="N37" s="120">
        <f>N36</f>
        <v>0</v>
      </c>
      <c r="O37" s="120">
        <f>O36</f>
        <v>0</v>
      </c>
      <c r="P37" s="120">
        <f t="shared" si="52"/>
        <v>0</v>
      </c>
      <c r="Q37" s="120">
        <f t="shared" si="52"/>
        <v>0</v>
      </c>
      <c r="R37" s="457"/>
      <c r="S37" s="377"/>
      <c r="T37" s="37"/>
      <c r="U37" s="37"/>
      <c r="V37" s="37"/>
      <c r="W37" s="37"/>
      <c r="X37" s="37"/>
      <c r="Y37" s="37"/>
      <c r="Z37" s="119"/>
      <c r="AA37" s="119"/>
      <c r="AB37" s="119"/>
      <c r="AC37" s="119"/>
      <c r="AD37" s="119"/>
      <c r="AE37" s="119"/>
      <c r="AF37" s="119">
        <f t="shared" ref="AF37:AF38" si="66">Z37+AC37+W37+T37</f>
        <v>0</v>
      </c>
      <c r="AG37" s="119">
        <f t="shared" si="53"/>
        <v>0</v>
      </c>
      <c r="AH37" s="119"/>
      <c r="AI37" s="119"/>
      <c r="AJ37" s="119">
        <f t="shared" si="54"/>
        <v>0</v>
      </c>
      <c r="AK37" s="119"/>
      <c r="AL37" s="119"/>
      <c r="AM37" s="118">
        <f t="shared" si="55"/>
        <v>0</v>
      </c>
      <c r="AN37" s="119"/>
      <c r="AO37" s="118">
        <f t="shared" ref="AO37:AP38" si="67">AL37-AI37</f>
        <v>0</v>
      </c>
      <c r="AP37" s="118">
        <f t="shared" si="67"/>
        <v>0</v>
      </c>
      <c r="AQ37" s="118"/>
      <c r="AR37" s="121" t="str">
        <f t="shared" si="49"/>
        <v/>
      </c>
      <c r="AS37" s="122"/>
      <c r="AT37" s="122"/>
      <c r="AU37" s="122"/>
      <c r="AV37" s="118">
        <f>AV36</f>
        <v>0</v>
      </c>
      <c r="AW37" s="118">
        <f t="shared" ref="AW37:AW38" si="68">AV37*1.12</f>
        <v>0</v>
      </c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459"/>
      <c r="BN37" s="123"/>
      <c r="BO37" s="123"/>
      <c r="BP37" s="123"/>
      <c r="BQ37" s="123"/>
      <c r="BR37" s="123"/>
      <c r="BS37" s="123"/>
      <c r="BT37" s="123"/>
      <c r="BU37" s="97"/>
      <c r="BV37" s="97"/>
      <c r="BW37" s="100"/>
      <c r="BX37" s="101"/>
    </row>
    <row r="38" spans="1:76" hidden="1" outlineLevel="1" x14ac:dyDescent="0.25">
      <c r="A38" s="416"/>
      <c r="B38" s="375"/>
      <c r="C38" s="124" t="s">
        <v>71</v>
      </c>
      <c r="D38" s="124" t="s">
        <v>73</v>
      </c>
      <c r="E38" s="125"/>
      <c r="F38" s="126"/>
      <c r="G38" s="466"/>
      <c r="H38" s="378"/>
      <c r="I38" s="126"/>
      <c r="J38" s="126"/>
      <c r="K38" s="469"/>
      <c r="L38" s="354"/>
      <c r="M38" s="455"/>
      <c r="N38" s="127">
        <f>N37</f>
        <v>0</v>
      </c>
      <c r="O38" s="127">
        <f>O37</f>
        <v>0</v>
      </c>
      <c r="P38" s="127">
        <f t="shared" si="52"/>
        <v>0</v>
      </c>
      <c r="Q38" s="127">
        <f t="shared" si="52"/>
        <v>0</v>
      </c>
      <c r="R38" s="458"/>
      <c r="S38" s="378"/>
      <c r="T38" s="37"/>
      <c r="U38" s="37"/>
      <c r="V38" s="37"/>
      <c r="W38" s="37"/>
      <c r="X38" s="37"/>
      <c r="Y38" s="37"/>
      <c r="Z38" s="126"/>
      <c r="AA38" s="126"/>
      <c r="AB38" s="126"/>
      <c r="AC38" s="126"/>
      <c r="AD38" s="126"/>
      <c r="AE38" s="126"/>
      <c r="AF38" s="126">
        <f t="shared" si="66"/>
        <v>0</v>
      </c>
      <c r="AG38" s="126">
        <f t="shared" si="53"/>
        <v>0</v>
      </c>
      <c r="AH38" s="126"/>
      <c r="AI38" s="126"/>
      <c r="AJ38" s="126">
        <f t="shared" si="54"/>
        <v>0</v>
      </c>
      <c r="AK38" s="126"/>
      <c r="AL38" s="126"/>
      <c r="AM38" s="125">
        <f t="shared" si="55"/>
        <v>0</v>
      </c>
      <c r="AN38" s="126"/>
      <c r="AO38" s="125">
        <f t="shared" si="67"/>
        <v>0</v>
      </c>
      <c r="AP38" s="125">
        <f t="shared" si="67"/>
        <v>0</v>
      </c>
      <c r="AQ38" s="125"/>
      <c r="AR38" s="128" t="str">
        <f t="shared" si="49"/>
        <v/>
      </c>
      <c r="AS38" s="129"/>
      <c r="AT38" s="129"/>
      <c r="AU38" s="129"/>
      <c r="AV38" s="125">
        <f>AV37</f>
        <v>0</v>
      </c>
      <c r="AW38" s="125">
        <f t="shared" si="68"/>
        <v>0</v>
      </c>
      <c r="AX38" s="125"/>
      <c r="AY38" s="125"/>
      <c r="AZ38" s="125"/>
      <c r="BA38" s="125"/>
      <c r="BB38" s="125"/>
      <c r="BC38" s="125"/>
      <c r="BD38" s="125"/>
      <c r="BE38" s="125"/>
      <c r="BF38" s="125"/>
      <c r="BG38" s="125"/>
      <c r="BH38" s="125"/>
      <c r="BI38" s="125"/>
      <c r="BJ38" s="125"/>
      <c r="BK38" s="125"/>
      <c r="BL38" s="125"/>
      <c r="BM38" s="358"/>
      <c r="BN38" s="130"/>
      <c r="BO38" s="130"/>
      <c r="BP38" s="130"/>
      <c r="BQ38" s="130"/>
      <c r="BR38" s="130"/>
      <c r="BS38" s="130"/>
      <c r="BT38" s="130"/>
      <c r="BW38" s="25"/>
      <c r="BX38" s="26"/>
    </row>
    <row r="39" spans="1:76" hidden="1" outlineLevel="1" x14ac:dyDescent="0.25">
      <c r="A39" s="416"/>
      <c r="B39" s="375"/>
      <c r="C39" s="117" t="s">
        <v>69</v>
      </c>
      <c r="D39" s="117" t="s">
        <v>70</v>
      </c>
      <c r="E39" s="118"/>
      <c r="F39" s="119"/>
      <c r="G39" s="464"/>
      <c r="H39" s="376"/>
      <c r="I39" s="119"/>
      <c r="J39" s="119"/>
      <c r="K39" s="467"/>
      <c r="L39" s="353"/>
      <c r="M39" s="453"/>
      <c r="N39" s="120">
        <f>O39/1.12</f>
        <v>0</v>
      </c>
      <c r="O39" s="120"/>
      <c r="P39" s="120">
        <f t="shared" si="52"/>
        <v>0</v>
      </c>
      <c r="Q39" s="120">
        <f t="shared" si="52"/>
        <v>0</v>
      </c>
      <c r="R39" s="456"/>
      <c r="S39" s="376"/>
      <c r="T39" s="37"/>
      <c r="U39" s="37"/>
      <c r="V39" s="37"/>
      <c r="W39" s="37"/>
      <c r="X39" s="37"/>
      <c r="Y39" s="37"/>
      <c r="Z39" s="119"/>
      <c r="AA39" s="119"/>
      <c r="AB39" s="119"/>
      <c r="AC39" s="119"/>
      <c r="AD39" s="119"/>
      <c r="AE39" s="119"/>
      <c r="AF39" s="119">
        <f>Z39+AC39+W39+T39</f>
        <v>0</v>
      </c>
      <c r="AG39" s="119">
        <f t="shared" si="53"/>
        <v>0</v>
      </c>
      <c r="AH39" s="119"/>
      <c r="AI39" s="119"/>
      <c r="AJ39" s="119">
        <f t="shared" si="54"/>
        <v>0</v>
      </c>
      <c r="AK39" s="119"/>
      <c r="AL39" s="119"/>
      <c r="AM39" s="118">
        <f t="shared" si="55"/>
        <v>0</v>
      </c>
      <c r="AN39" s="119"/>
      <c r="AO39" s="118">
        <f>AL39-AI39</f>
        <v>0</v>
      </c>
      <c r="AP39" s="118">
        <f>AM39-AJ39</f>
        <v>0</v>
      </c>
      <c r="AQ39" s="118"/>
      <c r="AR39" s="121" t="str">
        <f t="shared" si="49"/>
        <v/>
      </c>
      <c r="AS39" s="122"/>
      <c r="AT39" s="122"/>
      <c r="AU39" s="122"/>
      <c r="AV39" s="118"/>
      <c r="AW39" s="118">
        <f>AV39</f>
        <v>0</v>
      </c>
      <c r="AX39" s="118"/>
      <c r="AY39" s="118"/>
      <c r="AZ39" s="118"/>
      <c r="BA39" s="118"/>
      <c r="BB39" s="118"/>
      <c r="BC39" s="118"/>
      <c r="BD39" s="118"/>
      <c r="BE39" s="118"/>
      <c r="BF39" s="118"/>
      <c r="BG39" s="118"/>
      <c r="BH39" s="118"/>
      <c r="BI39" s="118"/>
      <c r="BJ39" s="118"/>
      <c r="BK39" s="118"/>
      <c r="BL39" s="118"/>
      <c r="BM39" s="357"/>
      <c r="BN39" s="123"/>
      <c r="BO39" s="123"/>
      <c r="BP39" s="123"/>
      <c r="BQ39" s="123"/>
      <c r="BR39" s="123"/>
      <c r="BS39" s="123"/>
      <c r="BT39" s="123"/>
      <c r="BU39" s="97"/>
      <c r="BV39" s="97"/>
      <c r="BW39" s="100"/>
      <c r="BX39" s="101"/>
    </row>
    <row r="40" spans="1:76" hidden="1" outlineLevel="1" x14ac:dyDescent="0.25">
      <c r="A40" s="416"/>
      <c r="B40" s="375"/>
      <c r="C40" s="117" t="s">
        <v>71</v>
      </c>
      <c r="D40" s="117" t="s">
        <v>72</v>
      </c>
      <c r="E40" s="118"/>
      <c r="F40" s="119"/>
      <c r="G40" s="465"/>
      <c r="H40" s="377"/>
      <c r="I40" s="119"/>
      <c r="J40" s="119"/>
      <c r="K40" s="468"/>
      <c r="L40" s="375"/>
      <c r="M40" s="454"/>
      <c r="N40" s="120">
        <f>N39</f>
        <v>0</v>
      </c>
      <c r="O40" s="120">
        <f>O39</f>
        <v>0</v>
      </c>
      <c r="P40" s="120">
        <f t="shared" si="52"/>
        <v>0</v>
      </c>
      <c r="Q40" s="120">
        <f t="shared" si="52"/>
        <v>0</v>
      </c>
      <c r="R40" s="457"/>
      <c r="S40" s="377"/>
      <c r="T40" s="37"/>
      <c r="U40" s="37"/>
      <c r="V40" s="37"/>
      <c r="W40" s="37"/>
      <c r="X40" s="37"/>
      <c r="Y40" s="37"/>
      <c r="Z40" s="119"/>
      <c r="AA40" s="119"/>
      <c r="AB40" s="119"/>
      <c r="AC40" s="119"/>
      <c r="AD40" s="119"/>
      <c r="AE40" s="119"/>
      <c r="AF40" s="119">
        <f t="shared" ref="AF40:AF41" si="69">Z40+AC40+W40+T40</f>
        <v>0</v>
      </c>
      <c r="AG40" s="119">
        <f t="shared" si="53"/>
        <v>0</v>
      </c>
      <c r="AH40" s="119"/>
      <c r="AI40" s="119"/>
      <c r="AJ40" s="119">
        <f t="shared" si="54"/>
        <v>0</v>
      </c>
      <c r="AK40" s="119"/>
      <c r="AL40" s="119"/>
      <c r="AM40" s="118">
        <f t="shared" si="55"/>
        <v>0</v>
      </c>
      <c r="AN40" s="119"/>
      <c r="AO40" s="118">
        <f t="shared" ref="AO40:AP41" si="70">AL40-AI40</f>
        <v>0</v>
      </c>
      <c r="AP40" s="118">
        <f t="shared" si="70"/>
        <v>0</v>
      </c>
      <c r="AQ40" s="118"/>
      <c r="AR40" s="121" t="str">
        <f t="shared" si="49"/>
        <v/>
      </c>
      <c r="AS40" s="122"/>
      <c r="AT40" s="122"/>
      <c r="AU40" s="122"/>
      <c r="AV40" s="118">
        <f>AV39</f>
        <v>0</v>
      </c>
      <c r="AW40" s="118">
        <f t="shared" ref="AW40:AW41" si="71">AV40*1.12</f>
        <v>0</v>
      </c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459"/>
      <c r="BN40" s="123"/>
      <c r="BO40" s="123"/>
      <c r="BP40" s="123"/>
      <c r="BQ40" s="123"/>
      <c r="BR40" s="123"/>
      <c r="BS40" s="123"/>
      <c r="BT40" s="123"/>
      <c r="BU40" s="97"/>
      <c r="BV40" s="97"/>
      <c r="BW40" s="100"/>
      <c r="BX40" s="101"/>
    </row>
    <row r="41" spans="1:76" hidden="1" outlineLevel="1" x14ac:dyDescent="0.25">
      <c r="A41" s="356"/>
      <c r="B41" s="354"/>
      <c r="C41" s="124" t="s">
        <v>71</v>
      </c>
      <c r="D41" s="124" t="s">
        <v>73</v>
      </c>
      <c r="E41" s="125"/>
      <c r="F41" s="126"/>
      <c r="G41" s="466"/>
      <c r="H41" s="378"/>
      <c r="I41" s="126"/>
      <c r="J41" s="126"/>
      <c r="K41" s="469"/>
      <c r="L41" s="354"/>
      <c r="M41" s="455"/>
      <c r="N41" s="127">
        <f>N40</f>
        <v>0</v>
      </c>
      <c r="O41" s="127">
        <f>O40</f>
        <v>0</v>
      </c>
      <c r="P41" s="127">
        <f t="shared" si="52"/>
        <v>0</v>
      </c>
      <c r="Q41" s="127">
        <f t="shared" si="52"/>
        <v>0</v>
      </c>
      <c r="R41" s="458"/>
      <c r="S41" s="378"/>
      <c r="T41" s="37"/>
      <c r="U41" s="37"/>
      <c r="V41" s="37"/>
      <c r="W41" s="37"/>
      <c r="X41" s="37"/>
      <c r="Y41" s="37"/>
      <c r="Z41" s="126"/>
      <c r="AA41" s="126"/>
      <c r="AB41" s="126"/>
      <c r="AC41" s="126"/>
      <c r="AD41" s="126"/>
      <c r="AE41" s="126"/>
      <c r="AF41" s="126">
        <f t="shared" si="69"/>
        <v>0</v>
      </c>
      <c r="AG41" s="126">
        <f t="shared" si="53"/>
        <v>0</v>
      </c>
      <c r="AH41" s="126"/>
      <c r="AI41" s="126"/>
      <c r="AJ41" s="126">
        <f t="shared" si="54"/>
        <v>0</v>
      </c>
      <c r="AK41" s="126"/>
      <c r="AL41" s="126"/>
      <c r="AM41" s="125">
        <f t="shared" si="55"/>
        <v>0</v>
      </c>
      <c r="AN41" s="126"/>
      <c r="AO41" s="125">
        <f t="shared" si="70"/>
        <v>0</v>
      </c>
      <c r="AP41" s="125">
        <f t="shared" si="70"/>
        <v>0</v>
      </c>
      <c r="AQ41" s="125"/>
      <c r="AR41" s="128" t="str">
        <f t="shared" si="49"/>
        <v/>
      </c>
      <c r="AS41" s="129"/>
      <c r="AT41" s="129"/>
      <c r="AU41" s="129"/>
      <c r="AV41" s="125">
        <f>AV40</f>
        <v>0</v>
      </c>
      <c r="AW41" s="125">
        <f t="shared" si="71"/>
        <v>0</v>
      </c>
      <c r="AX41" s="125"/>
      <c r="AY41" s="125"/>
      <c r="AZ41" s="125"/>
      <c r="BA41" s="125"/>
      <c r="BB41" s="125"/>
      <c r="BC41" s="125"/>
      <c r="BD41" s="125"/>
      <c r="BE41" s="125"/>
      <c r="BF41" s="125"/>
      <c r="BG41" s="125"/>
      <c r="BH41" s="125"/>
      <c r="BI41" s="125"/>
      <c r="BJ41" s="125"/>
      <c r="BK41" s="125"/>
      <c r="BL41" s="125"/>
      <c r="BM41" s="358"/>
      <c r="BN41" s="130"/>
      <c r="BO41" s="130"/>
      <c r="BP41" s="130"/>
      <c r="BQ41" s="130"/>
      <c r="BR41" s="130"/>
      <c r="BS41" s="130"/>
      <c r="BT41" s="130"/>
      <c r="BW41" s="25"/>
      <c r="BX41" s="26"/>
    </row>
    <row r="42" spans="1:76" s="97" customFormat="1" ht="18.75" hidden="1" customHeight="1" outlineLevel="1" x14ac:dyDescent="0.25">
      <c r="A42" s="355"/>
      <c r="B42" s="353" t="s">
        <v>79</v>
      </c>
      <c r="C42" s="117" t="s">
        <v>69</v>
      </c>
      <c r="D42" s="117" t="s">
        <v>70</v>
      </c>
      <c r="E42" s="118">
        <f>I42</f>
        <v>0</v>
      </c>
      <c r="F42" s="119">
        <f t="shared" si="50"/>
        <v>0</v>
      </c>
      <c r="G42" s="464"/>
      <c r="H42" s="376"/>
      <c r="I42" s="119"/>
      <c r="J42" s="119">
        <f t="shared" si="51"/>
        <v>0</v>
      </c>
      <c r="K42" s="467"/>
      <c r="L42" s="369"/>
      <c r="M42" s="500"/>
      <c r="N42" s="120">
        <f>O42/1.12</f>
        <v>0</v>
      </c>
      <c r="O42" s="120">
        <f>O45+O48+O51+O54</f>
        <v>0</v>
      </c>
      <c r="P42" s="120">
        <f t="shared" si="52"/>
        <v>0</v>
      </c>
      <c r="Q42" s="120">
        <f t="shared" si="52"/>
        <v>0</v>
      </c>
      <c r="R42" s="456"/>
      <c r="S42" s="376">
        <f>S45+S48+S51+S54</f>
        <v>0</v>
      </c>
      <c r="T42" s="37"/>
      <c r="U42" s="37"/>
      <c r="V42" s="37"/>
      <c r="W42" s="37"/>
      <c r="X42" s="37"/>
      <c r="Y42" s="37"/>
      <c r="Z42" s="119"/>
      <c r="AA42" s="119"/>
      <c r="AB42" s="119"/>
      <c r="AC42" s="119"/>
      <c r="AD42" s="119"/>
      <c r="AE42" s="119"/>
      <c r="AF42" s="119">
        <f t="shared" si="57"/>
        <v>0</v>
      </c>
      <c r="AG42" s="119">
        <f t="shared" si="53"/>
        <v>0</v>
      </c>
      <c r="AH42" s="119"/>
      <c r="AI42" s="119"/>
      <c r="AJ42" s="119">
        <f t="shared" si="54"/>
        <v>0</v>
      </c>
      <c r="AK42" s="119"/>
      <c r="AL42" s="119">
        <f>AL45+AL48+AL51+AL54</f>
        <v>0</v>
      </c>
      <c r="AM42" s="118">
        <f t="shared" si="55"/>
        <v>0</v>
      </c>
      <c r="AN42" s="119"/>
      <c r="AO42" s="118">
        <f>AL42-AI42</f>
        <v>0</v>
      </c>
      <c r="AP42" s="118">
        <f>AM42-AJ42</f>
        <v>0</v>
      </c>
      <c r="AQ42" s="119"/>
      <c r="AR42" s="121" t="str">
        <f>IF(AI42=0,"",AL42/AI42)</f>
        <v/>
      </c>
      <c r="AS42" s="122"/>
      <c r="AT42" s="122"/>
      <c r="AU42" s="122"/>
      <c r="AV42" s="118">
        <f>I42</f>
        <v>0</v>
      </c>
      <c r="AW42" s="118">
        <f>AV42</f>
        <v>0</v>
      </c>
      <c r="AX42" s="118"/>
      <c r="AY42" s="118"/>
      <c r="AZ42" s="118">
        <f>AL42-AI42</f>
        <v>0</v>
      </c>
      <c r="BA42" s="118"/>
      <c r="BB42" s="118"/>
      <c r="BC42" s="118"/>
      <c r="BD42" s="118"/>
      <c r="BE42" s="118"/>
      <c r="BF42" s="118"/>
      <c r="BG42" s="118"/>
      <c r="BH42" s="118"/>
      <c r="BI42" s="118"/>
      <c r="BJ42" s="118"/>
      <c r="BK42" s="118"/>
      <c r="BL42" s="118"/>
      <c r="BM42" s="501"/>
      <c r="BN42" s="123"/>
      <c r="BO42" s="123"/>
      <c r="BP42" s="123"/>
      <c r="BQ42" s="123"/>
      <c r="BR42" s="123"/>
      <c r="BS42" s="123"/>
      <c r="BT42" s="123"/>
      <c r="BW42" s="100"/>
      <c r="BX42" s="101"/>
    </row>
    <row r="43" spans="1:76" s="97" customFormat="1" ht="18.75" hidden="1" customHeight="1" outlineLevel="1" x14ac:dyDescent="0.25">
      <c r="A43" s="416"/>
      <c r="B43" s="375"/>
      <c r="C43" s="117" t="s">
        <v>71</v>
      </c>
      <c r="D43" s="117" t="s">
        <v>72</v>
      </c>
      <c r="E43" s="118">
        <f t="shared" si="56"/>
        <v>0</v>
      </c>
      <c r="F43" s="119">
        <f t="shared" si="50"/>
        <v>0</v>
      </c>
      <c r="G43" s="465"/>
      <c r="H43" s="377"/>
      <c r="I43" s="119">
        <f>I42</f>
        <v>0</v>
      </c>
      <c r="J43" s="119">
        <f t="shared" si="51"/>
        <v>0</v>
      </c>
      <c r="K43" s="468"/>
      <c r="L43" s="369"/>
      <c r="M43" s="500"/>
      <c r="N43" s="120">
        <f>N42</f>
        <v>0</v>
      </c>
      <c r="O43" s="120">
        <f>O42</f>
        <v>0</v>
      </c>
      <c r="P43" s="120">
        <f t="shared" si="52"/>
        <v>0</v>
      </c>
      <c r="Q43" s="120">
        <f t="shared" si="52"/>
        <v>0</v>
      </c>
      <c r="R43" s="457"/>
      <c r="S43" s="377"/>
      <c r="T43" s="37"/>
      <c r="U43" s="37"/>
      <c r="V43" s="37"/>
      <c r="W43" s="37"/>
      <c r="X43" s="37"/>
      <c r="Y43" s="37"/>
      <c r="Z43" s="119"/>
      <c r="AA43" s="119"/>
      <c r="AB43" s="119"/>
      <c r="AC43" s="119"/>
      <c r="AD43" s="119"/>
      <c r="AE43" s="119"/>
      <c r="AF43" s="119">
        <f t="shared" si="57"/>
        <v>0</v>
      </c>
      <c r="AG43" s="119">
        <f t="shared" si="53"/>
        <v>0</v>
      </c>
      <c r="AH43" s="119"/>
      <c r="AI43" s="119">
        <f>AI42</f>
        <v>0</v>
      </c>
      <c r="AJ43" s="119">
        <f t="shared" si="54"/>
        <v>0</v>
      </c>
      <c r="AK43" s="119"/>
      <c r="AL43" s="119">
        <f>AL44</f>
        <v>0</v>
      </c>
      <c r="AM43" s="118">
        <f t="shared" si="55"/>
        <v>0</v>
      </c>
      <c r="AN43" s="119"/>
      <c r="AO43" s="118">
        <f t="shared" ref="AO43:AP44" si="72">AL43-AI43</f>
        <v>0</v>
      </c>
      <c r="AP43" s="118">
        <f t="shared" si="72"/>
        <v>0</v>
      </c>
      <c r="AQ43" s="118"/>
      <c r="AR43" s="121" t="str">
        <f t="shared" si="49"/>
        <v/>
      </c>
      <c r="AS43" s="122"/>
      <c r="AT43" s="122">
        <f>AT44</f>
        <v>0</v>
      </c>
      <c r="AU43" s="122">
        <f>AU44</f>
        <v>0</v>
      </c>
      <c r="AV43" s="118">
        <f>I43</f>
        <v>0</v>
      </c>
      <c r="AW43" s="118">
        <f t="shared" ref="AW43:AW44" si="73">AV43*1.12</f>
        <v>0</v>
      </c>
      <c r="AX43" s="118"/>
      <c r="AY43" s="118"/>
      <c r="AZ43" s="118"/>
      <c r="BA43" s="118"/>
      <c r="BB43" s="118"/>
      <c r="BC43" s="118"/>
      <c r="BD43" s="118"/>
      <c r="BE43" s="118"/>
      <c r="BF43" s="118"/>
      <c r="BG43" s="118"/>
      <c r="BH43" s="118"/>
      <c r="BI43" s="118"/>
      <c r="BJ43" s="118"/>
      <c r="BK43" s="118"/>
      <c r="BL43" s="118"/>
      <c r="BM43" s="502"/>
      <c r="BN43" s="123"/>
      <c r="BO43" s="123"/>
      <c r="BP43" s="123"/>
      <c r="BQ43" s="123"/>
      <c r="BR43" s="123"/>
      <c r="BS43" s="123"/>
      <c r="BT43" s="123"/>
      <c r="BW43" s="100"/>
      <c r="BX43" s="101"/>
    </row>
    <row r="44" spans="1:76" ht="18.75" hidden="1" customHeight="1" outlineLevel="1" x14ac:dyDescent="0.25">
      <c r="A44" s="416"/>
      <c r="B44" s="375"/>
      <c r="C44" s="124" t="s">
        <v>71</v>
      </c>
      <c r="D44" s="124" t="s">
        <v>73</v>
      </c>
      <c r="E44" s="125">
        <f t="shared" si="56"/>
        <v>0</v>
      </c>
      <c r="F44" s="126">
        <f t="shared" si="50"/>
        <v>0</v>
      </c>
      <c r="G44" s="466"/>
      <c r="H44" s="378"/>
      <c r="I44" s="126">
        <f>I43</f>
        <v>0</v>
      </c>
      <c r="J44" s="126">
        <f t="shared" si="51"/>
        <v>0</v>
      </c>
      <c r="K44" s="468"/>
      <c r="L44" s="369"/>
      <c r="M44" s="500"/>
      <c r="N44" s="127">
        <f>N43</f>
        <v>0</v>
      </c>
      <c r="O44" s="127">
        <f>O43</f>
        <v>0</v>
      </c>
      <c r="P44" s="127">
        <f t="shared" si="52"/>
        <v>0</v>
      </c>
      <c r="Q44" s="127">
        <f t="shared" si="52"/>
        <v>0</v>
      </c>
      <c r="R44" s="457"/>
      <c r="S44" s="378"/>
      <c r="T44" s="37"/>
      <c r="U44" s="37"/>
      <c r="V44" s="37"/>
      <c r="W44" s="37"/>
      <c r="X44" s="37"/>
      <c r="Y44" s="37"/>
      <c r="Z44" s="126"/>
      <c r="AA44" s="126"/>
      <c r="AB44" s="126"/>
      <c r="AC44" s="126"/>
      <c r="AD44" s="126"/>
      <c r="AE44" s="126"/>
      <c r="AF44" s="126">
        <f t="shared" si="57"/>
        <v>0</v>
      </c>
      <c r="AG44" s="126">
        <f t="shared" si="53"/>
        <v>0</v>
      </c>
      <c r="AH44" s="126"/>
      <c r="AI44" s="126">
        <f>AI43</f>
        <v>0</v>
      </c>
      <c r="AJ44" s="126">
        <f t="shared" si="54"/>
        <v>0</v>
      </c>
      <c r="AK44" s="126"/>
      <c r="AL44" s="126"/>
      <c r="AM44" s="125">
        <f t="shared" si="55"/>
        <v>0</v>
      </c>
      <c r="AN44" s="126"/>
      <c r="AO44" s="125">
        <f t="shared" si="72"/>
        <v>0</v>
      </c>
      <c r="AP44" s="125">
        <f t="shared" si="72"/>
        <v>0</v>
      </c>
      <c r="AQ44" s="125"/>
      <c r="AR44" s="128" t="str">
        <f t="shared" si="49"/>
        <v/>
      </c>
      <c r="AS44" s="129"/>
      <c r="AT44" s="129"/>
      <c r="AU44" s="129"/>
      <c r="AV44" s="125">
        <f>AV43</f>
        <v>0</v>
      </c>
      <c r="AW44" s="125">
        <f t="shared" si="73"/>
        <v>0</v>
      </c>
      <c r="AX44" s="125"/>
      <c r="AY44" s="125"/>
      <c r="AZ44" s="125"/>
      <c r="BA44" s="125"/>
      <c r="BB44" s="125"/>
      <c r="BC44" s="125"/>
      <c r="BD44" s="125"/>
      <c r="BE44" s="125"/>
      <c r="BF44" s="125"/>
      <c r="BG44" s="125"/>
      <c r="BH44" s="125"/>
      <c r="BI44" s="125"/>
      <c r="BJ44" s="125"/>
      <c r="BK44" s="125"/>
      <c r="BL44" s="125"/>
      <c r="BM44" s="503"/>
      <c r="BN44" s="130"/>
      <c r="BO44" s="130"/>
      <c r="BP44" s="130"/>
      <c r="BQ44" s="130"/>
      <c r="BR44" s="130"/>
      <c r="BS44" s="130"/>
      <c r="BT44" s="130"/>
      <c r="BW44" s="25"/>
      <c r="BX44" s="26"/>
    </row>
    <row r="45" spans="1:76" s="149" customFormat="1" ht="18.75" hidden="1" customHeight="1" outlineLevel="1" collapsed="1" x14ac:dyDescent="0.25">
      <c r="A45" s="416"/>
      <c r="B45" s="375"/>
      <c r="C45" s="139" t="s">
        <v>69</v>
      </c>
      <c r="D45" s="139" t="s">
        <v>70</v>
      </c>
      <c r="E45" s="140">
        <f t="shared" si="56"/>
        <v>0</v>
      </c>
      <c r="F45" s="141">
        <f t="shared" si="50"/>
        <v>0</v>
      </c>
      <c r="G45" s="485"/>
      <c r="H45" s="488"/>
      <c r="I45" s="141"/>
      <c r="J45" s="141">
        <f t="shared" si="51"/>
        <v>0</v>
      </c>
      <c r="K45" s="468"/>
      <c r="L45" s="491" t="s">
        <v>80</v>
      </c>
      <c r="M45" s="142"/>
      <c r="N45" s="143">
        <f>O45/1.12</f>
        <v>0</v>
      </c>
      <c r="O45" s="143"/>
      <c r="P45" s="143">
        <f t="shared" si="52"/>
        <v>0</v>
      </c>
      <c r="Q45" s="143">
        <f t="shared" si="52"/>
        <v>0</v>
      </c>
      <c r="R45" s="457"/>
      <c r="S45" s="488"/>
      <c r="T45" s="144"/>
      <c r="U45" s="144"/>
      <c r="V45" s="144"/>
      <c r="W45" s="144"/>
      <c r="X45" s="144"/>
      <c r="Y45" s="144"/>
      <c r="Z45" s="141"/>
      <c r="AA45" s="141"/>
      <c r="AB45" s="141"/>
      <c r="AC45" s="141"/>
      <c r="AD45" s="141"/>
      <c r="AE45" s="141"/>
      <c r="AF45" s="141">
        <f t="shared" si="57"/>
        <v>0</v>
      </c>
      <c r="AG45" s="141">
        <f t="shared" si="53"/>
        <v>0</v>
      </c>
      <c r="AH45" s="141"/>
      <c r="AI45" s="141"/>
      <c r="AJ45" s="141">
        <f t="shared" si="54"/>
        <v>0</v>
      </c>
      <c r="AK45" s="141"/>
      <c r="AL45" s="145"/>
      <c r="AM45" s="140">
        <f t="shared" si="55"/>
        <v>0</v>
      </c>
      <c r="AN45" s="145"/>
      <c r="AO45" s="140">
        <f>AL45-AI45</f>
        <v>0</v>
      </c>
      <c r="AP45" s="140">
        <f>AM45-AJ45</f>
        <v>0</v>
      </c>
      <c r="AQ45" s="140"/>
      <c r="AR45" s="146" t="str">
        <f t="shared" si="49"/>
        <v/>
      </c>
      <c r="AS45" s="147"/>
      <c r="AT45" s="147"/>
      <c r="AU45" s="147"/>
      <c r="AV45" s="140">
        <f>I45</f>
        <v>0</v>
      </c>
      <c r="AW45" s="140">
        <f>AV45</f>
        <v>0</v>
      </c>
      <c r="AX45" s="140"/>
      <c r="AY45" s="140"/>
      <c r="AZ45" s="140"/>
      <c r="BA45" s="140"/>
      <c r="BB45" s="140"/>
      <c r="BC45" s="140"/>
      <c r="BD45" s="140"/>
      <c r="BE45" s="140"/>
      <c r="BF45" s="140"/>
      <c r="BG45" s="140"/>
      <c r="BH45" s="140"/>
      <c r="BI45" s="140"/>
      <c r="BJ45" s="140"/>
      <c r="BK45" s="140"/>
      <c r="BL45" s="140">
        <f>AL45-AI45</f>
        <v>0</v>
      </c>
      <c r="BM45" s="497" t="s">
        <v>81</v>
      </c>
      <c r="BN45" s="148"/>
      <c r="BO45" s="148"/>
      <c r="BP45" s="148"/>
      <c r="BQ45" s="148"/>
      <c r="BR45" s="148"/>
      <c r="BS45" s="148"/>
      <c r="BT45" s="148"/>
      <c r="BW45" s="150"/>
      <c r="BX45" s="151"/>
    </row>
    <row r="46" spans="1:76" s="149" customFormat="1" ht="18.75" hidden="1" customHeight="1" outlineLevel="1" x14ac:dyDescent="0.25">
      <c r="A46" s="416"/>
      <c r="B46" s="375"/>
      <c r="C46" s="139" t="s">
        <v>71</v>
      </c>
      <c r="D46" s="139" t="s">
        <v>72</v>
      </c>
      <c r="E46" s="140">
        <f t="shared" si="56"/>
        <v>0</v>
      </c>
      <c r="F46" s="141">
        <f t="shared" si="50"/>
        <v>0</v>
      </c>
      <c r="G46" s="486"/>
      <c r="H46" s="489"/>
      <c r="I46" s="141"/>
      <c r="J46" s="141">
        <f t="shared" si="51"/>
        <v>0</v>
      </c>
      <c r="K46" s="468"/>
      <c r="L46" s="492"/>
      <c r="M46" s="142"/>
      <c r="N46" s="143">
        <f>N45</f>
        <v>0</v>
      </c>
      <c r="O46" s="143">
        <f>O45</f>
        <v>0</v>
      </c>
      <c r="P46" s="143">
        <f t="shared" si="52"/>
        <v>0</v>
      </c>
      <c r="Q46" s="143">
        <f t="shared" si="52"/>
        <v>0</v>
      </c>
      <c r="R46" s="457"/>
      <c r="S46" s="489"/>
      <c r="T46" s="144"/>
      <c r="U46" s="144"/>
      <c r="V46" s="144"/>
      <c r="W46" s="144"/>
      <c r="X46" s="144"/>
      <c r="Y46" s="144"/>
      <c r="Z46" s="141"/>
      <c r="AA46" s="141"/>
      <c r="AB46" s="141"/>
      <c r="AC46" s="141"/>
      <c r="AD46" s="141"/>
      <c r="AE46" s="141"/>
      <c r="AF46" s="141">
        <f t="shared" si="57"/>
        <v>0</v>
      </c>
      <c r="AG46" s="141">
        <f t="shared" si="53"/>
        <v>0</v>
      </c>
      <c r="AH46" s="141"/>
      <c r="AI46" s="141"/>
      <c r="AJ46" s="141">
        <f t="shared" si="54"/>
        <v>0</v>
      </c>
      <c r="AK46" s="141"/>
      <c r="AL46" s="141"/>
      <c r="AM46" s="140">
        <f t="shared" si="55"/>
        <v>0</v>
      </c>
      <c r="AN46" s="141"/>
      <c r="AO46" s="140">
        <f t="shared" ref="AO46:AP47" si="74">AL46-AI46</f>
        <v>0</v>
      </c>
      <c r="AP46" s="140">
        <f t="shared" si="74"/>
        <v>0</v>
      </c>
      <c r="AQ46" s="140"/>
      <c r="AR46" s="146" t="str">
        <f t="shared" si="49"/>
        <v/>
      </c>
      <c r="AS46" s="147"/>
      <c r="AT46" s="147"/>
      <c r="AU46" s="147"/>
      <c r="AV46" s="140">
        <f>I46</f>
        <v>0</v>
      </c>
      <c r="AW46" s="140">
        <f t="shared" ref="AW46:AW47" si="75">AV46*1.12</f>
        <v>0</v>
      </c>
      <c r="AX46" s="140"/>
      <c r="AY46" s="140"/>
      <c r="AZ46" s="140"/>
      <c r="BA46" s="140"/>
      <c r="BB46" s="140"/>
      <c r="BC46" s="140"/>
      <c r="BD46" s="140"/>
      <c r="BE46" s="140"/>
      <c r="BF46" s="140"/>
      <c r="BG46" s="140"/>
      <c r="BH46" s="140"/>
      <c r="BI46" s="140"/>
      <c r="BJ46" s="140"/>
      <c r="BK46" s="140"/>
      <c r="BL46" s="140"/>
      <c r="BM46" s="498"/>
      <c r="BN46" s="148"/>
      <c r="BO46" s="148"/>
      <c r="BP46" s="148"/>
      <c r="BQ46" s="148"/>
      <c r="BR46" s="148"/>
      <c r="BS46" s="148"/>
      <c r="BT46" s="148"/>
      <c r="BW46" s="150"/>
      <c r="BX46" s="151"/>
    </row>
    <row r="47" spans="1:76" s="158" customFormat="1" ht="18.75" hidden="1" customHeight="1" outlineLevel="1" x14ac:dyDescent="0.25">
      <c r="A47" s="416"/>
      <c r="B47" s="375"/>
      <c r="C47" s="152" t="s">
        <v>71</v>
      </c>
      <c r="D47" s="152" t="s">
        <v>73</v>
      </c>
      <c r="E47" s="153">
        <f t="shared" si="56"/>
        <v>0</v>
      </c>
      <c r="F47" s="154">
        <f t="shared" si="50"/>
        <v>0</v>
      </c>
      <c r="G47" s="487"/>
      <c r="H47" s="490"/>
      <c r="I47" s="154">
        <f>I46</f>
        <v>0</v>
      </c>
      <c r="J47" s="154">
        <f t="shared" si="51"/>
        <v>0</v>
      </c>
      <c r="K47" s="468"/>
      <c r="L47" s="493"/>
      <c r="M47" s="142"/>
      <c r="N47" s="155">
        <f>N46</f>
        <v>0</v>
      </c>
      <c r="O47" s="155">
        <f>O46</f>
        <v>0</v>
      </c>
      <c r="P47" s="155">
        <f t="shared" si="52"/>
        <v>0</v>
      </c>
      <c r="Q47" s="155">
        <f t="shared" si="52"/>
        <v>0</v>
      </c>
      <c r="R47" s="457"/>
      <c r="S47" s="490"/>
      <c r="T47" s="144"/>
      <c r="U47" s="144"/>
      <c r="V47" s="144"/>
      <c r="W47" s="144"/>
      <c r="X47" s="144"/>
      <c r="Y47" s="144"/>
      <c r="Z47" s="154"/>
      <c r="AA47" s="154"/>
      <c r="AB47" s="154"/>
      <c r="AC47" s="154"/>
      <c r="AD47" s="154"/>
      <c r="AE47" s="154"/>
      <c r="AF47" s="154">
        <f t="shared" si="57"/>
        <v>0</v>
      </c>
      <c r="AG47" s="154">
        <f t="shared" si="53"/>
        <v>0</v>
      </c>
      <c r="AH47" s="154"/>
      <c r="AI47" s="154">
        <f>AI46</f>
        <v>0</v>
      </c>
      <c r="AJ47" s="154">
        <f t="shared" si="54"/>
        <v>0</v>
      </c>
      <c r="AK47" s="154"/>
      <c r="AL47" s="154"/>
      <c r="AM47" s="153">
        <f t="shared" si="55"/>
        <v>0</v>
      </c>
      <c r="AN47" s="154"/>
      <c r="AO47" s="153">
        <f t="shared" si="74"/>
        <v>0</v>
      </c>
      <c r="AP47" s="153">
        <f t="shared" si="74"/>
        <v>0</v>
      </c>
      <c r="AQ47" s="153"/>
      <c r="AR47" s="156" t="str">
        <f t="shared" si="49"/>
        <v/>
      </c>
      <c r="AS47" s="157"/>
      <c r="AT47" s="157"/>
      <c r="AU47" s="157"/>
      <c r="AV47" s="153">
        <f>AV46</f>
        <v>0</v>
      </c>
      <c r="AW47" s="153">
        <f t="shared" si="75"/>
        <v>0</v>
      </c>
      <c r="AX47" s="153"/>
      <c r="AY47" s="153"/>
      <c r="AZ47" s="153"/>
      <c r="BA47" s="153"/>
      <c r="BB47" s="153"/>
      <c r="BC47" s="153"/>
      <c r="BD47" s="153"/>
      <c r="BE47" s="153"/>
      <c r="BF47" s="153"/>
      <c r="BG47" s="153"/>
      <c r="BH47" s="153"/>
      <c r="BI47" s="153"/>
      <c r="BJ47" s="153"/>
      <c r="BK47" s="153"/>
      <c r="BL47" s="153"/>
      <c r="BM47" s="499"/>
      <c r="BN47" s="142"/>
      <c r="BO47" s="142"/>
      <c r="BP47" s="142"/>
      <c r="BQ47" s="142"/>
      <c r="BR47" s="142"/>
      <c r="BS47" s="142"/>
      <c r="BT47" s="142"/>
      <c r="BW47" s="159"/>
      <c r="BX47" s="160"/>
    </row>
    <row r="48" spans="1:76" s="158" customFormat="1" ht="12" hidden="1" outlineLevel="1" x14ac:dyDescent="0.25">
      <c r="A48" s="416"/>
      <c r="B48" s="375"/>
      <c r="C48" s="139" t="s">
        <v>69</v>
      </c>
      <c r="D48" s="139" t="s">
        <v>70</v>
      </c>
      <c r="E48" s="140"/>
      <c r="F48" s="141"/>
      <c r="G48" s="485"/>
      <c r="H48" s="488"/>
      <c r="I48" s="141"/>
      <c r="J48" s="141"/>
      <c r="K48" s="468"/>
      <c r="L48" s="491" t="s">
        <v>82</v>
      </c>
      <c r="M48" s="142"/>
      <c r="N48" s="143">
        <f>O48/1.12</f>
        <v>0</v>
      </c>
      <c r="O48" s="143"/>
      <c r="P48" s="143">
        <f t="shared" si="52"/>
        <v>0</v>
      </c>
      <c r="Q48" s="143">
        <f t="shared" si="52"/>
        <v>0</v>
      </c>
      <c r="R48" s="457"/>
      <c r="S48" s="488"/>
      <c r="T48" s="144"/>
      <c r="U48" s="144"/>
      <c r="V48" s="144"/>
      <c r="W48" s="144"/>
      <c r="X48" s="144"/>
      <c r="Y48" s="144"/>
      <c r="Z48" s="141"/>
      <c r="AA48" s="141"/>
      <c r="AB48" s="141"/>
      <c r="AC48" s="141"/>
      <c r="AD48" s="141"/>
      <c r="AE48" s="141"/>
      <c r="AF48" s="141">
        <f t="shared" si="57"/>
        <v>0</v>
      </c>
      <c r="AG48" s="141">
        <f t="shared" si="53"/>
        <v>0</v>
      </c>
      <c r="AH48" s="141"/>
      <c r="AI48" s="141"/>
      <c r="AJ48" s="141">
        <f t="shared" si="54"/>
        <v>0</v>
      </c>
      <c r="AK48" s="141"/>
      <c r="AL48" s="145"/>
      <c r="AM48" s="140">
        <f t="shared" si="55"/>
        <v>0</v>
      </c>
      <c r="AN48" s="145"/>
      <c r="AO48" s="140">
        <f>AL48-AI48</f>
        <v>0</v>
      </c>
      <c r="AP48" s="140">
        <f>AM48-AJ48</f>
        <v>0</v>
      </c>
      <c r="AQ48" s="140"/>
      <c r="AR48" s="146" t="str">
        <f t="shared" si="49"/>
        <v/>
      </c>
      <c r="AS48" s="147"/>
      <c r="AT48" s="147"/>
      <c r="AU48" s="147"/>
      <c r="AV48" s="140"/>
      <c r="AW48" s="140">
        <f>AV48</f>
        <v>0</v>
      </c>
      <c r="AX48" s="140"/>
      <c r="AY48" s="140"/>
      <c r="AZ48" s="140"/>
      <c r="BA48" s="140"/>
      <c r="BB48" s="140"/>
      <c r="BC48" s="140"/>
      <c r="BD48" s="140"/>
      <c r="BE48" s="140"/>
      <c r="BF48" s="140"/>
      <c r="BG48" s="140"/>
      <c r="BH48" s="140"/>
      <c r="BI48" s="140"/>
      <c r="BJ48" s="140"/>
      <c r="BK48" s="140"/>
      <c r="BL48" s="140"/>
      <c r="BM48" s="497" t="s">
        <v>83</v>
      </c>
      <c r="BN48" s="148"/>
      <c r="BO48" s="148"/>
      <c r="BP48" s="148"/>
      <c r="BQ48" s="148"/>
      <c r="BR48" s="148"/>
      <c r="BS48" s="148"/>
      <c r="BT48" s="148"/>
      <c r="BW48" s="159"/>
      <c r="BX48" s="160"/>
    </row>
    <row r="49" spans="1:76" s="158" customFormat="1" ht="12" hidden="1" outlineLevel="1" x14ac:dyDescent="0.25">
      <c r="A49" s="416"/>
      <c r="B49" s="375"/>
      <c r="C49" s="139" t="s">
        <v>71</v>
      </c>
      <c r="D49" s="139" t="s">
        <v>72</v>
      </c>
      <c r="E49" s="140"/>
      <c r="F49" s="141"/>
      <c r="G49" s="486"/>
      <c r="H49" s="489"/>
      <c r="I49" s="141"/>
      <c r="J49" s="141"/>
      <c r="K49" s="468"/>
      <c r="L49" s="492"/>
      <c r="M49" s="142"/>
      <c r="N49" s="143">
        <f>N48</f>
        <v>0</v>
      </c>
      <c r="O49" s="143">
        <f>O48</f>
        <v>0</v>
      </c>
      <c r="P49" s="143">
        <f t="shared" si="52"/>
        <v>0</v>
      </c>
      <c r="Q49" s="143">
        <f t="shared" si="52"/>
        <v>0</v>
      </c>
      <c r="R49" s="457"/>
      <c r="S49" s="489"/>
      <c r="T49" s="144"/>
      <c r="U49" s="144"/>
      <c r="V49" s="144"/>
      <c r="W49" s="144"/>
      <c r="X49" s="144"/>
      <c r="Y49" s="144"/>
      <c r="Z49" s="141"/>
      <c r="AA49" s="141"/>
      <c r="AB49" s="141"/>
      <c r="AC49" s="141"/>
      <c r="AD49" s="141"/>
      <c r="AE49" s="141"/>
      <c r="AF49" s="141">
        <f t="shared" si="57"/>
        <v>0</v>
      </c>
      <c r="AG49" s="141">
        <f t="shared" si="53"/>
        <v>0</v>
      </c>
      <c r="AH49" s="141"/>
      <c r="AI49" s="141"/>
      <c r="AJ49" s="141">
        <f t="shared" si="54"/>
        <v>0</v>
      </c>
      <c r="AK49" s="141"/>
      <c r="AL49" s="141"/>
      <c r="AM49" s="140">
        <f t="shared" si="55"/>
        <v>0</v>
      </c>
      <c r="AN49" s="141"/>
      <c r="AO49" s="140">
        <f t="shared" ref="AO49:AP50" si="76">AL49-AI49</f>
        <v>0</v>
      </c>
      <c r="AP49" s="140">
        <f t="shared" si="76"/>
        <v>0</v>
      </c>
      <c r="AQ49" s="140"/>
      <c r="AR49" s="146" t="str">
        <f t="shared" si="49"/>
        <v/>
      </c>
      <c r="AS49" s="147"/>
      <c r="AT49" s="147"/>
      <c r="AU49" s="147"/>
      <c r="AV49" s="140">
        <f>AV48</f>
        <v>0</v>
      </c>
      <c r="AW49" s="140">
        <f t="shared" ref="AW49:AW50" si="77">AV49*1.12</f>
        <v>0</v>
      </c>
      <c r="AX49" s="140"/>
      <c r="AY49" s="140"/>
      <c r="AZ49" s="140"/>
      <c r="BA49" s="140"/>
      <c r="BB49" s="140"/>
      <c r="BC49" s="140"/>
      <c r="BD49" s="140"/>
      <c r="BE49" s="140"/>
      <c r="BF49" s="140"/>
      <c r="BG49" s="140"/>
      <c r="BH49" s="140"/>
      <c r="BI49" s="140"/>
      <c r="BJ49" s="140"/>
      <c r="BK49" s="140"/>
      <c r="BL49" s="140"/>
      <c r="BM49" s="498"/>
      <c r="BN49" s="148"/>
      <c r="BO49" s="148"/>
      <c r="BP49" s="148"/>
      <c r="BQ49" s="148"/>
      <c r="BR49" s="148"/>
      <c r="BS49" s="148"/>
      <c r="BT49" s="148"/>
      <c r="BW49" s="159"/>
      <c r="BX49" s="160"/>
    </row>
    <row r="50" spans="1:76" s="158" customFormat="1" ht="12" hidden="1" outlineLevel="1" x14ac:dyDescent="0.25">
      <c r="A50" s="416"/>
      <c r="B50" s="375"/>
      <c r="C50" s="152" t="s">
        <v>71</v>
      </c>
      <c r="D50" s="152" t="s">
        <v>73</v>
      </c>
      <c r="E50" s="153"/>
      <c r="F50" s="154"/>
      <c r="G50" s="487"/>
      <c r="H50" s="490"/>
      <c r="I50" s="154"/>
      <c r="J50" s="154"/>
      <c r="K50" s="468"/>
      <c r="L50" s="493"/>
      <c r="M50" s="142"/>
      <c r="N50" s="155">
        <f>N49</f>
        <v>0</v>
      </c>
      <c r="O50" s="155">
        <f>O49</f>
        <v>0</v>
      </c>
      <c r="P50" s="155">
        <f t="shared" si="52"/>
        <v>0</v>
      </c>
      <c r="Q50" s="155">
        <f t="shared" si="52"/>
        <v>0</v>
      </c>
      <c r="R50" s="457"/>
      <c r="S50" s="490"/>
      <c r="T50" s="144"/>
      <c r="U50" s="144"/>
      <c r="V50" s="144"/>
      <c r="W50" s="144"/>
      <c r="X50" s="144"/>
      <c r="Y50" s="144"/>
      <c r="Z50" s="154"/>
      <c r="AA50" s="154"/>
      <c r="AB50" s="154"/>
      <c r="AC50" s="154"/>
      <c r="AD50" s="154"/>
      <c r="AE50" s="154"/>
      <c r="AF50" s="154">
        <f t="shared" si="57"/>
        <v>0</v>
      </c>
      <c r="AG50" s="154">
        <f t="shared" si="53"/>
        <v>0</v>
      </c>
      <c r="AH50" s="154"/>
      <c r="AI50" s="154"/>
      <c r="AJ50" s="154">
        <f t="shared" si="54"/>
        <v>0</v>
      </c>
      <c r="AK50" s="154"/>
      <c r="AL50" s="154"/>
      <c r="AM50" s="153">
        <f t="shared" si="55"/>
        <v>0</v>
      </c>
      <c r="AN50" s="154"/>
      <c r="AO50" s="153">
        <f t="shared" si="76"/>
        <v>0</v>
      </c>
      <c r="AP50" s="153">
        <f t="shared" si="76"/>
        <v>0</v>
      </c>
      <c r="AQ50" s="153"/>
      <c r="AR50" s="156" t="str">
        <f t="shared" si="49"/>
        <v/>
      </c>
      <c r="AS50" s="157"/>
      <c r="AT50" s="157"/>
      <c r="AU50" s="157"/>
      <c r="AV50" s="153">
        <f>AV49</f>
        <v>0</v>
      </c>
      <c r="AW50" s="153">
        <f t="shared" si="77"/>
        <v>0</v>
      </c>
      <c r="AX50" s="153"/>
      <c r="AY50" s="153"/>
      <c r="AZ50" s="153"/>
      <c r="BA50" s="153"/>
      <c r="BB50" s="153"/>
      <c r="BC50" s="153"/>
      <c r="BD50" s="153"/>
      <c r="BE50" s="153"/>
      <c r="BF50" s="153"/>
      <c r="BG50" s="153"/>
      <c r="BH50" s="153"/>
      <c r="BI50" s="153"/>
      <c r="BJ50" s="153"/>
      <c r="BK50" s="153"/>
      <c r="BL50" s="153"/>
      <c r="BM50" s="499"/>
      <c r="BN50" s="142"/>
      <c r="BO50" s="142"/>
      <c r="BP50" s="142"/>
      <c r="BQ50" s="142"/>
      <c r="BR50" s="142"/>
      <c r="BS50" s="142"/>
      <c r="BT50" s="142"/>
      <c r="BW50" s="159"/>
      <c r="BX50" s="160"/>
    </row>
    <row r="51" spans="1:76" s="158" customFormat="1" ht="12" hidden="1" outlineLevel="1" x14ac:dyDescent="0.25">
      <c r="A51" s="416"/>
      <c r="B51" s="375"/>
      <c r="C51" s="139" t="s">
        <v>69</v>
      </c>
      <c r="D51" s="139" t="s">
        <v>70</v>
      </c>
      <c r="E51" s="140"/>
      <c r="F51" s="141"/>
      <c r="G51" s="485"/>
      <c r="H51" s="488"/>
      <c r="I51" s="141"/>
      <c r="J51" s="141"/>
      <c r="K51" s="468"/>
      <c r="L51" s="491" t="s">
        <v>84</v>
      </c>
      <c r="M51" s="142"/>
      <c r="N51" s="143">
        <f>O51/1.12</f>
        <v>0</v>
      </c>
      <c r="O51" s="143"/>
      <c r="P51" s="143">
        <f t="shared" si="52"/>
        <v>0</v>
      </c>
      <c r="Q51" s="143">
        <f t="shared" si="52"/>
        <v>0</v>
      </c>
      <c r="R51" s="457"/>
      <c r="S51" s="488"/>
      <c r="T51" s="144"/>
      <c r="U51" s="144"/>
      <c r="V51" s="144"/>
      <c r="W51" s="144"/>
      <c r="X51" s="144"/>
      <c r="Y51" s="144"/>
      <c r="Z51" s="141"/>
      <c r="AA51" s="141"/>
      <c r="AB51" s="141"/>
      <c r="AC51" s="141"/>
      <c r="AD51" s="141"/>
      <c r="AE51" s="141"/>
      <c r="AF51" s="141">
        <f t="shared" si="57"/>
        <v>0</v>
      </c>
      <c r="AG51" s="141">
        <f t="shared" si="53"/>
        <v>0</v>
      </c>
      <c r="AH51" s="141"/>
      <c r="AI51" s="141"/>
      <c r="AJ51" s="141">
        <f t="shared" si="54"/>
        <v>0</v>
      </c>
      <c r="AK51" s="141"/>
      <c r="AL51" s="145"/>
      <c r="AM51" s="140">
        <f t="shared" si="55"/>
        <v>0</v>
      </c>
      <c r="AN51" s="145"/>
      <c r="AO51" s="140">
        <f>AL51-AI51</f>
        <v>0</v>
      </c>
      <c r="AP51" s="140">
        <f>AM51-AJ51</f>
        <v>0</v>
      </c>
      <c r="AQ51" s="140"/>
      <c r="AR51" s="146" t="str">
        <f t="shared" si="49"/>
        <v/>
      </c>
      <c r="AS51" s="147"/>
      <c r="AT51" s="147"/>
      <c r="AU51" s="147"/>
      <c r="AV51" s="140"/>
      <c r="AW51" s="140">
        <f>AV51</f>
        <v>0</v>
      </c>
      <c r="AX51" s="140"/>
      <c r="AY51" s="140"/>
      <c r="AZ51" s="140"/>
      <c r="BA51" s="140"/>
      <c r="BB51" s="140"/>
      <c r="BC51" s="140"/>
      <c r="BD51" s="140"/>
      <c r="BE51" s="140"/>
      <c r="BF51" s="140"/>
      <c r="BG51" s="140"/>
      <c r="BH51" s="140"/>
      <c r="BI51" s="140"/>
      <c r="BJ51" s="140"/>
      <c r="BK51" s="140"/>
      <c r="BL51" s="140"/>
      <c r="BM51" s="497" t="s">
        <v>85</v>
      </c>
      <c r="BN51" s="148"/>
      <c r="BO51" s="148"/>
      <c r="BP51" s="148"/>
      <c r="BQ51" s="148"/>
      <c r="BR51" s="148"/>
      <c r="BS51" s="148"/>
      <c r="BT51" s="148"/>
      <c r="BW51" s="159"/>
      <c r="BX51" s="160"/>
    </row>
    <row r="52" spans="1:76" s="158" customFormat="1" ht="12" hidden="1" outlineLevel="1" x14ac:dyDescent="0.25">
      <c r="A52" s="416"/>
      <c r="B52" s="375"/>
      <c r="C52" s="139" t="s">
        <v>71</v>
      </c>
      <c r="D52" s="139" t="s">
        <v>72</v>
      </c>
      <c r="E52" s="140"/>
      <c r="F52" s="141"/>
      <c r="G52" s="486"/>
      <c r="H52" s="489"/>
      <c r="I52" s="141"/>
      <c r="J52" s="141"/>
      <c r="K52" s="468"/>
      <c r="L52" s="492"/>
      <c r="M52" s="142"/>
      <c r="N52" s="143">
        <f>N51</f>
        <v>0</v>
      </c>
      <c r="O52" s="143">
        <f>O51</f>
        <v>0</v>
      </c>
      <c r="P52" s="143">
        <f t="shared" si="52"/>
        <v>0</v>
      </c>
      <c r="Q52" s="143">
        <f t="shared" si="52"/>
        <v>0</v>
      </c>
      <c r="R52" s="457"/>
      <c r="S52" s="489"/>
      <c r="T52" s="144"/>
      <c r="U52" s="144"/>
      <c r="V52" s="144"/>
      <c r="W52" s="144"/>
      <c r="X52" s="144"/>
      <c r="Y52" s="144"/>
      <c r="Z52" s="141"/>
      <c r="AA52" s="141"/>
      <c r="AB52" s="141"/>
      <c r="AC52" s="141"/>
      <c r="AD52" s="141"/>
      <c r="AE52" s="141"/>
      <c r="AF52" s="141">
        <f t="shared" si="57"/>
        <v>0</v>
      </c>
      <c r="AG52" s="141">
        <f t="shared" si="53"/>
        <v>0</v>
      </c>
      <c r="AH52" s="141"/>
      <c r="AI52" s="141"/>
      <c r="AJ52" s="141">
        <f t="shared" si="54"/>
        <v>0</v>
      </c>
      <c r="AK52" s="141"/>
      <c r="AL52" s="141"/>
      <c r="AM52" s="140">
        <f t="shared" si="55"/>
        <v>0</v>
      </c>
      <c r="AN52" s="141"/>
      <c r="AO52" s="140">
        <f t="shared" ref="AO52:AP53" si="78">AL52-AI52</f>
        <v>0</v>
      </c>
      <c r="AP52" s="140">
        <f t="shared" si="78"/>
        <v>0</v>
      </c>
      <c r="AQ52" s="140"/>
      <c r="AR52" s="146" t="str">
        <f t="shared" si="49"/>
        <v/>
      </c>
      <c r="AS52" s="147"/>
      <c r="AT52" s="147"/>
      <c r="AU52" s="147"/>
      <c r="AV52" s="140">
        <f>AV51</f>
        <v>0</v>
      </c>
      <c r="AW52" s="140">
        <f t="shared" ref="AW52:AW53" si="79">AV52*1.12</f>
        <v>0</v>
      </c>
      <c r="AX52" s="140"/>
      <c r="AY52" s="140"/>
      <c r="AZ52" s="140"/>
      <c r="BA52" s="140"/>
      <c r="BB52" s="140"/>
      <c r="BC52" s="140"/>
      <c r="BD52" s="140"/>
      <c r="BE52" s="140"/>
      <c r="BF52" s="140"/>
      <c r="BG52" s="140"/>
      <c r="BH52" s="140"/>
      <c r="BI52" s="140"/>
      <c r="BJ52" s="140"/>
      <c r="BK52" s="140"/>
      <c r="BL52" s="140"/>
      <c r="BM52" s="498"/>
      <c r="BN52" s="148"/>
      <c r="BO52" s="148"/>
      <c r="BP52" s="148"/>
      <c r="BQ52" s="148"/>
      <c r="BR52" s="148"/>
      <c r="BS52" s="148"/>
      <c r="BT52" s="148"/>
      <c r="BW52" s="159"/>
      <c r="BX52" s="160"/>
    </row>
    <row r="53" spans="1:76" s="158" customFormat="1" ht="12" hidden="1" outlineLevel="1" x14ac:dyDescent="0.25">
      <c r="A53" s="416"/>
      <c r="B53" s="375"/>
      <c r="C53" s="152" t="s">
        <v>71</v>
      </c>
      <c r="D53" s="152" t="s">
        <v>73</v>
      </c>
      <c r="E53" s="153"/>
      <c r="F53" s="154"/>
      <c r="G53" s="487"/>
      <c r="H53" s="490"/>
      <c r="I53" s="154"/>
      <c r="J53" s="154"/>
      <c r="K53" s="468"/>
      <c r="L53" s="493"/>
      <c r="M53" s="142"/>
      <c r="N53" s="155">
        <f>N52</f>
        <v>0</v>
      </c>
      <c r="O53" s="155">
        <f>O52</f>
        <v>0</v>
      </c>
      <c r="P53" s="155">
        <f t="shared" si="52"/>
        <v>0</v>
      </c>
      <c r="Q53" s="155">
        <f t="shared" si="52"/>
        <v>0</v>
      </c>
      <c r="R53" s="457"/>
      <c r="S53" s="490"/>
      <c r="T53" s="144"/>
      <c r="U53" s="144"/>
      <c r="V53" s="144"/>
      <c r="W53" s="144"/>
      <c r="X53" s="144"/>
      <c r="Y53" s="144"/>
      <c r="Z53" s="154"/>
      <c r="AA53" s="154"/>
      <c r="AB53" s="154"/>
      <c r="AC53" s="154"/>
      <c r="AD53" s="154"/>
      <c r="AE53" s="154"/>
      <c r="AF53" s="154">
        <f t="shared" si="57"/>
        <v>0</v>
      </c>
      <c r="AG53" s="154">
        <f t="shared" si="53"/>
        <v>0</v>
      </c>
      <c r="AH53" s="154"/>
      <c r="AI53" s="154"/>
      <c r="AJ53" s="154">
        <f t="shared" si="54"/>
        <v>0</v>
      </c>
      <c r="AK53" s="154"/>
      <c r="AL53" s="154"/>
      <c r="AM53" s="153">
        <f t="shared" si="55"/>
        <v>0</v>
      </c>
      <c r="AN53" s="154"/>
      <c r="AO53" s="153">
        <f t="shared" si="78"/>
        <v>0</v>
      </c>
      <c r="AP53" s="153">
        <f t="shared" si="78"/>
        <v>0</v>
      </c>
      <c r="AQ53" s="153"/>
      <c r="AR53" s="156" t="str">
        <f t="shared" si="49"/>
        <v/>
      </c>
      <c r="AS53" s="157"/>
      <c r="AT53" s="157"/>
      <c r="AU53" s="157"/>
      <c r="AV53" s="153">
        <f>AV52</f>
        <v>0</v>
      </c>
      <c r="AW53" s="153">
        <f t="shared" si="79"/>
        <v>0</v>
      </c>
      <c r="AX53" s="153"/>
      <c r="AY53" s="153"/>
      <c r="AZ53" s="153"/>
      <c r="BA53" s="153"/>
      <c r="BB53" s="153"/>
      <c r="BC53" s="153"/>
      <c r="BD53" s="153"/>
      <c r="BE53" s="153"/>
      <c r="BF53" s="153"/>
      <c r="BG53" s="153"/>
      <c r="BH53" s="153"/>
      <c r="BI53" s="153"/>
      <c r="BJ53" s="153"/>
      <c r="BK53" s="153"/>
      <c r="BL53" s="153"/>
      <c r="BM53" s="499"/>
      <c r="BN53" s="142"/>
      <c r="BO53" s="142"/>
      <c r="BP53" s="142"/>
      <c r="BQ53" s="142"/>
      <c r="BR53" s="142"/>
      <c r="BS53" s="142"/>
      <c r="BT53" s="142"/>
      <c r="BW53" s="159"/>
      <c r="BX53" s="160"/>
    </row>
    <row r="54" spans="1:76" s="158" customFormat="1" ht="12" hidden="1" outlineLevel="1" x14ac:dyDescent="0.25">
      <c r="A54" s="416"/>
      <c r="B54" s="375"/>
      <c r="C54" s="139" t="s">
        <v>69</v>
      </c>
      <c r="D54" s="139" t="s">
        <v>70</v>
      </c>
      <c r="E54" s="140"/>
      <c r="F54" s="141"/>
      <c r="G54" s="485"/>
      <c r="H54" s="488"/>
      <c r="I54" s="141"/>
      <c r="J54" s="141"/>
      <c r="K54" s="468"/>
      <c r="L54" s="491" t="s">
        <v>86</v>
      </c>
      <c r="M54" s="142"/>
      <c r="N54" s="143">
        <f>O54/1.12</f>
        <v>0</v>
      </c>
      <c r="O54" s="143"/>
      <c r="P54" s="143">
        <f t="shared" si="52"/>
        <v>0</v>
      </c>
      <c r="Q54" s="143">
        <f t="shared" si="52"/>
        <v>0</v>
      </c>
      <c r="R54" s="457"/>
      <c r="S54" s="488"/>
      <c r="T54" s="144"/>
      <c r="U54" s="144"/>
      <c r="V54" s="144"/>
      <c r="W54" s="144"/>
      <c r="X54" s="144"/>
      <c r="Y54" s="144"/>
      <c r="Z54" s="141"/>
      <c r="AA54" s="141"/>
      <c r="AB54" s="141"/>
      <c r="AC54" s="141"/>
      <c r="AD54" s="141"/>
      <c r="AE54" s="141"/>
      <c r="AF54" s="141">
        <f t="shared" si="57"/>
        <v>0</v>
      </c>
      <c r="AG54" s="141">
        <f t="shared" si="53"/>
        <v>0</v>
      </c>
      <c r="AH54" s="141"/>
      <c r="AI54" s="141"/>
      <c r="AJ54" s="141">
        <f t="shared" si="54"/>
        <v>0</v>
      </c>
      <c r="AK54" s="141"/>
      <c r="AL54" s="145"/>
      <c r="AM54" s="140">
        <f t="shared" si="55"/>
        <v>0</v>
      </c>
      <c r="AN54" s="145"/>
      <c r="AO54" s="140">
        <f>AL54-AI54</f>
        <v>0</v>
      </c>
      <c r="AP54" s="140">
        <f>AM54-AJ54</f>
        <v>0</v>
      </c>
      <c r="AQ54" s="140"/>
      <c r="AR54" s="146" t="str">
        <f t="shared" si="49"/>
        <v/>
      </c>
      <c r="AS54" s="147"/>
      <c r="AT54" s="147"/>
      <c r="AU54" s="147"/>
      <c r="AV54" s="140"/>
      <c r="AW54" s="140">
        <f>AV54</f>
        <v>0</v>
      </c>
      <c r="AX54" s="140"/>
      <c r="AY54" s="140"/>
      <c r="AZ54" s="140"/>
      <c r="BA54" s="140"/>
      <c r="BB54" s="140"/>
      <c r="BC54" s="140"/>
      <c r="BD54" s="140"/>
      <c r="BE54" s="140"/>
      <c r="BF54" s="140"/>
      <c r="BG54" s="140"/>
      <c r="BH54" s="140"/>
      <c r="BI54" s="140"/>
      <c r="BJ54" s="140"/>
      <c r="BK54" s="140"/>
      <c r="BL54" s="140"/>
      <c r="BM54" s="497" t="s">
        <v>87</v>
      </c>
      <c r="BN54" s="148"/>
      <c r="BO54" s="148"/>
      <c r="BP54" s="148"/>
      <c r="BQ54" s="148"/>
      <c r="BR54" s="148"/>
      <c r="BS54" s="148"/>
      <c r="BT54" s="148"/>
      <c r="BW54" s="159"/>
      <c r="BX54" s="160"/>
    </row>
    <row r="55" spans="1:76" s="158" customFormat="1" ht="12" hidden="1" outlineLevel="1" x14ac:dyDescent="0.25">
      <c r="A55" s="416"/>
      <c r="B55" s="375"/>
      <c r="C55" s="139" t="s">
        <v>71</v>
      </c>
      <c r="D55" s="139" t="s">
        <v>72</v>
      </c>
      <c r="E55" s="140"/>
      <c r="F55" s="141"/>
      <c r="G55" s="486"/>
      <c r="H55" s="489"/>
      <c r="I55" s="141"/>
      <c r="J55" s="141"/>
      <c r="K55" s="468"/>
      <c r="L55" s="492"/>
      <c r="M55" s="142"/>
      <c r="N55" s="143">
        <f>N54</f>
        <v>0</v>
      </c>
      <c r="O55" s="143">
        <f>O54</f>
        <v>0</v>
      </c>
      <c r="P55" s="143">
        <f t="shared" si="52"/>
        <v>0</v>
      </c>
      <c r="Q55" s="143">
        <f t="shared" si="52"/>
        <v>0</v>
      </c>
      <c r="R55" s="457"/>
      <c r="S55" s="489"/>
      <c r="T55" s="144"/>
      <c r="U55" s="144"/>
      <c r="V55" s="144"/>
      <c r="W55" s="144"/>
      <c r="X55" s="144"/>
      <c r="Y55" s="144"/>
      <c r="Z55" s="141"/>
      <c r="AA55" s="141"/>
      <c r="AB55" s="141"/>
      <c r="AC55" s="141"/>
      <c r="AD55" s="141"/>
      <c r="AE55" s="141"/>
      <c r="AF55" s="141">
        <f t="shared" si="57"/>
        <v>0</v>
      </c>
      <c r="AG55" s="141">
        <f t="shared" si="53"/>
        <v>0</v>
      </c>
      <c r="AH55" s="141"/>
      <c r="AI55" s="141"/>
      <c r="AJ55" s="141">
        <f t="shared" si="54"/>
        <v>0</v>
      </c>
      <c r="AK55" s="141"/>
      <c r="AL55" s="141"/>
      <c r="AM55" s="140">
        <f t="shared" si="55"/>
        <v>0</v>
      </c>
      <c r="AN55" s="141"/>
      <c r="AO55" s="140">
        <f t="shared" ref="AO55:AP56" si="80">AL55-AI55</f>
        <v>0</v>
      </c>
      <c r="AP55" s="140">
        <f t="shared" si="80"/>
        <v>0</v>
      </c>
      <c r="AQ55" s="140"/>
      <c r="AR55" s="146" t="str">
        <f t="shared" si="49"/>
        <v/>
      </c>
      <c r="AS55" s="147"/>
      <c r="AT55" s="147"/>
      <c r="AU55" s="147"/>
      <c r="AV55" s="140">
        <f>AV54</f>
        <v>0</v>
      </c>
      <c r="AW55" s="140">
        <f t="shared" ref="AW55:AW56" si="81">AV55*1.12</f>
        <v>0</v>
      </c>
      <c r="AX55" s="140"/>
      <c r="AY55" s="140"/>
      <c r="AZ55" s="140"/>
      <c r="BA55" s="140"/>
      <c r="BB55" s="140"/>
      <c r="BC55" s="140"/>
      <c r="BD55" s="140"/>
      <c r="BE55" s="140"/>
      <c r="BF55" s="140"/>
      <c r="BG55" s="140"/>
      <c r="BH55" s="140"/>
      <c r="BI55" s="140"/>
      <c r="BJ55" s="140"/>
      <c r="BK55" s="140"/>
      <c r="BL55" s="140"/>
      <c r="BM55" s="498"/>
      <c r="BN55" s="148"/>
      <c r="BO55" s="148"/>
      <c r="BP55" s="148"/>
      <c r="BQ55" s="148"/>
      <c r="BR55" s="148"/>
      <c r="BS55" s="148"/>
      <c r="BT55" s="148"/>
      <c r="BW55" s="159"/>
      <c r="BX55" s="160"/>
    </row>
    <row r="56" spans="1:76" s="158" customFormat="1" ht="12" hidden="1" outlineLevel="1" x14ac:dyDescent="0.25">
      <c r="A56" s="416"/>
      <c r="B56" s="375"/>
      <c r="C56" s="152" t="s">
        <v>71</v>
      </c>
      <c r="D56" s="152" t="s">
        <v>73</v>
      </c>
      <c r="E56" s="153"/>
      <c r="F56" s="154"/>
      <c r="G56" s="487"/>
      <c r="H56" s="490"/>
      <c r="I56" s="154"/>
      <c r="J56" s="154"/>
      <c r="K56" s="469"/>
      <c r="L56" s="493"/>
      <c r="M56" s="142"/>
      <c r="N56" s="155">
        <f>N55</f>
        <v>0</v>
      </c>
      <c r="O56" s="155">
        <f>O55</f>
        <v>0</v>
      </c>
      <c r="P56" s="155">
        <f t="shared" si="52"/>
        <v>0</v>
      </c>
      <c r="Q56" s="155">
        <f t="shared" si="52"/>
        <v>0</v>
      </c>
      <c r="R56" s="458"/>
      <c r="S56" s="490"/>
      <c r="T56" s="144"/>
      <c r="U56" s="144"/>
      <c r="V56" s="144"/>
      <c r="W56" s="144"/>
      <c r="X56" s="144"/>
      <c r="Y56" s="144"/>
      <c r="Z56" s="154"/>
      <c r="AA56" s="154"/>
      <c r="AB56" s="154"/>
      <c r="AC56" s="154"/>
      <c r="AD56" s="154"/>
      <c r="AE56" s="154"/>
      <c r="AF56" s="154">
        <f t="shared" si="57"/>
        <v>0</v>
      </c>
      <c r="AG56" s="154">
        <f t="shared" si="53"/>
        <v>0</v>
      </c>
      <c r="AH56" s="154"/>
      <c r="AI56" s="154"/>
      <c r="AJ56" s="154">
        <f t="shared" si="54"/>
        <v>0</v>
      </c>
      <c r="AK56" s="154"/>
      <c r="AL56" s="154"/>
      <c r="AM56" s="153">
        <f t="shared" si="55"/>
        <v>0</v>
      </c>
      <c r="AN56" s="154"/>
      <c r="AO56" s="153">
        <f t="shared" si="80"/>
        <v>0</v>
      </c>
      <c r="AP56" s="153">
        <f t="shared" si="80"/>
        <v>0</v>
      </c>
      <c r="AQ56" s="153"/>
      <c r="AR56" s="156" t="str">
        <f t="shared" si="49"/>
        <v/>
      </c>
      <c r="AS56" s="157"/>
      <c r="AT56" s="157"/>
      <c r="AU56" s="157"/>
      <c r="AV56" s="153">
        <f>AV55</f>
        <v>0</v>
      </c>
      <c r="AW56" s="153">
        <f t="shared" si="81"/>
        <v>0</v>
      </c>
      <c r="AX56" s="153"/>
      <c r="AY56" s="153"/>
      <c r="AZ56" s="153"/>
      <c r="BA56" s="153"/>
      <c r="BB56" s="153"/>
      <c r="BC56" s="153"/>
      <c r="BD56" s="153"/>
      <c r="BE56" s="153"/>
      <c r="BF56" s="153"/>
      <c r="BG56" s="153"/>
      <c r="BH56" s="153"/>
      <c r="BI56" s="153"/>
      <c r="BJ56" s="153"/>
      <c r="BK56" s="153"/>
      <c r="BL56" s="153"/>
      <c r="BM56" s="499"/>
      <c r="BN56" s="142"/>
      <c r="BO56" s="142"/>
      <c r="BP56" s="142"/>
      <c r="BQ56" s="142"/>
      <c r="BR56" s="142"/>
      <c r="BS56" s="142"/>
      <c r="BT56" s="142"/>
      <c r="BW56" s="159"/>
      <c r="BX56" s="160"/>
    </row>
    <row r="57" spans="1:76" ht="18" hidden="1" customHeight="1" outlineLevel="1" collapsed="1" x14ac:dyDescent="0.25">
      <c r="A57" s="416"/>
      <c r="B57" s="375"/>
      <c r="C57" s="117" t="s">
        <v>69</v>
      </c>
      <c r="D57" s="117" t="s">
        <v>70</v>
      </c>
      <c r="E57" s="118"/>
      <c r="F57" s="119"/>
      <c r="G57" s="464"/>
      <c r="H57" s="376"/>
      <c r="I57" s="119"/>
      <c r="J57" s="119"/>
      <c r="K57" s="467"/>
      <c r="L57" s="353"/>
      <c r="M57" s="453"/>
      <c r="N57" s="120">
        <f>O57/1.12</f>
        <v>0</v>
      </c>
      <c r="O57" s="120">
        <f>O60+O63+O66+O69+O72+O75+O81+O78</f>
        <v>0</v>
      </c>
      <c r="P57" s="120">
        <f t="shared" si="52"/>
        <v>0</v>
      </c>
      <c r="Q57" s="120">
        <f t="shared" si="52"/>
        <v>0</v>
      </c>
      <c r="R57" s="456"/>
      <c r="S57" s="376">
        <f>S60+S63+S66+S69+S72+S75+S78+S81</f>
        <v>0</v>
      </c>
      <c r="T57" s="37"/>
      <c r="U57" s="37"/>
      <c r="V57" s="37"/>
      <c r="W57" s="37"/>
      <c r="X57" s="37"/>
      <c r="Y57" s="37"/>
      <c r="Z57" s="119"/>
      <c r="AA57" s="119"/>
      <c r="AB57" s="119"/>
      <c r="AC57" s="119"/>
      <c r="AD57" s="119"/>
      <c r="AE57" s="119"/>
      <c r="AF57" s="119">
        <f t="shared" si="57"/>
        <v>0</v>
      </c>
      <c r="AG57" s="119">
        <f t="shared" si="53"/>
        <v>0</v>
      </c>
      <c r="AH57" s="119"/>
      <c r="AI57" s="119"/>
      <c r="AJ57" s="119">
        <f t="shared" si="54"/>
        <v>0</v>
      </c>
      <c r="AK57" s="119"/>
      <c r="AL57" s="119">
        <f>AL60+AL63+AL66+AL69+AL72+AL75+AL81+AL78</f>
        <v>0</v>
      </c>
      <c r="AM57" s="118">
        <f t="shared" si="55"/>
        <v>0</v>
      </c>
      <c r="AN57" s="119"/>
      <c r="AO57" s="118">
        <f>AL57-AI57</f>
        <v>0</v>
      </c>
      <c r="AP57" s="118">
        <f>AM57-AJ57</f>
        <v>0</v>
      </c>
      <c r="AQ57" s="118"/>
      <c r="AR57" s="121" t="str">
        <f t="shared" si="49"/>
        <v/>
      </c>
      <c r="AS57" s="122"/>
      <c r="AT57" s="122"/>
      <c r="AU57" s="122"/>
      <c r="AV57" s="118"/>
      <c r="AW57" s="118">
        <f>AV57</f>
        <v>0</v>
      </c>
      <c r="AX57" s="118"/>
      <c r="AY57" s="118"/>
      <c r="AZ57" s="118">
        <f>AL57-AI57</f>
        <v>0</v>
      </c>
      <c r="BA57" s="118"/>
      <c r="BB57" s="118"/>
      <c r="BC57" s="118"/>
      <c r="BD57" s="118"/>
      <c r="BE57" s="118"/>
      <c r="BF57" s="118"/>
      <c r="BG57" s="118"/>
      <c r="BH57" s="118"/>
      <c r="BI57" s="118"/>
      <c r="BJ57" s="118"/>
      <c r="BK57" s="118"/>
      <c r="BL57" s="118"/>
      <c r="BM57" s="482"/>
      <c r="BN57" s="123"/>
      <c r="BO57" s="123"/>
      <c r="BP57" s="123"/>
      <c r="BQ57" s="123"/>
      <c r="BR57" s="123"/>
      <c r="BS57" s="123"/>
      <c r="BT57" s="123"/>
      <c r="BW57" s="25"/>
      <c r="BX57" s="26"/>
    </row>
    <row r="58" spans="1:76" ht="18" hidden="1" customHeight="1" outlineLevel="1" x14ac:dyDescent="0.25">
      <c r="A58" s="416"/>
      <c r="B58" s="375"/>
      <c r="C58" s="117" t="s">
        <v>71</v>
      </c>
      <c r="D58" s="117" t="s">
        <v>72</v>
      </c>
      <c r="E58" s="118"/>
      <c r="F58" s="119"/>
      <c r="G58" s="465"/>
      <c r="H58" s="377"/>
      <c r="I58" s="119"/>
      <c r="J58" s="119"/>
      <c r="K58" s="468"/>
      <c r="L58" s="375"/>
      <c r="M58" s="454"/>
      <c r="N58" s="120">
        <f>N57</f>
        <v>0</v>
      </c>
      <c r="O58" s="120">
        <f>O57</f>
        <v>0</v>
      </c>
      <c r="P58" s="120">
        <f t="shared" si="52"/>
        <v>0</v>
      </c>
      <c r="Q58" s="120">
        <f t="shared" si="52"/>
        <v>0</v>
      </c>
      <c r="R58" s="457"/>
      <c r="S58" s="377"/>
      <c r="T58" s="37"/>
      <c r="U58" s="37"/>
      <c r="V58" s="37"/>
      <c r="W58" s="37"/>
      <c r="X58" s="37"/>
      <c r="Y58" s="37"/>
      <c r="Z58" s="119"/>
      <c r="AA58" s="119"/>
      <c r="AB58" s="119"/>
      <c r="AC58" s="119"/>
      <c r="AD58" s="119"/>
      <c r="AE58" s="119"/>
      <c r="AF58" s="119">
        <f t="shared" si="57"/>
        <v>0</v>
      </c>
      <c r="AG58" s="119">
        <f t="shared" si="53"/>
        <v>0</v>
      </c>
      <c r="AH58" s="119"/>
      <c r="AI58" s="119">
        <f>AI57</f>
        <v>0</v>
      </c>
      <c r="AJ58" s="119">
        <f t="shared" si="54"/>
        <v>0</v>
      </c>
      <c r="AK58" s="119"/>
      <c r="AL58" s="119"/>
      <c r="AM58" s="118">
        <f t="shared" si="55"/>
        <v>0</v>
      </c>
      <c r="AN58" s="119"/>
      <c r="AO58" s="118">
        <f t="shared" ref="AO58:AP59" si="82">AL58-AI58</f>
        <v>0</v>
      </c>
      <c r="AP58" s="118">
        <f t="shared" si="82"/>
        <v>0</v>
      </c>
      <c r="AQ58" s="118"/>
      <c r="AR58" s="121" t="str">
        <f t="shared" si="49"/>
        <v/>
      </c>
      <c r="AS58" s="122"/>
      <c r="AT58" s="122">
        <f>AL58</f>
        <v>0</v>
      </c>
      <c r="AU58" s="122"/>
      <c r="AV58" s="118">
        <f>AV57</f>
        <v>0</v>
      </c>
      <c r="AW58" s="118">
        <f t="shared" ref="AW58:AW59" si="83">AV58*1.12</f>
        <v>0</v>
      </c>
      <c r="AX58" s="118"/>
      <c r="AY58" s="118"/>
      <c r="AZ58" s="118"/>
      <c r="BA58" s="118"/>
      <c r="BB58" s="118"/>
      <c r="BC58" s="118"/>
      <c r="BD58" s="118"/>
      <c r="BE58" s="118"/>
      <c r="BF58" s="118"/>
      <c r="BG58" s="118"/>
      <c r="BH58" s="118"/>
      <c r="BI58" s="118"/>
      <c r="BJ58" s="118"/>
      <c r="BK58" s="118"/>
      <c r="BL58" s="118"/>
      <c r="BM58" s="483"/>
      <c r="BN58" s="123"/>
      <c r="BO58" s="123"/>
      <c r="BP58" s="123"/>
      <c r="BQ58" s="123"/>
      <c r="BR58" s="123"/>
      <c r="BS58" s="123"/>
      <c r="BT58" s="123"/>
      <c r="BW58" s="25"/>
      <c r="BX58" s="26"/>
    </row>
    <row r="59" spans="1:76" ht="18" hidden="1" customHeight="1" outlineLevel="1" x14ac:dyDescent="0.25">
      <c r="A59" s="416"/>
      <c r="B59" s="375"/>
      <c r="C59" s="124" t="s">
        <v>71</v>
      </c>
      <c r="D59" s="124" t="s">
        <v>73</v>
      </c>
      <c r="E59" s="125"/>
      <c r="F59" s="126"/>
      <c r="G59" s="466"/>
      <c r="H59" s="378"/>
      <c r="I59" s="126"/>
      <c r="J59" s="126"/>
      <c r="K59" s="468"/>
      <c r="L59" s="354"/>
      <c r="M59" s="455"/>
      <c r="N59" s="127">
        <f>N58</f>
        <v>0</v>
      </c>
      <c r="O59" s="127">
        <f>O58</f>
        <v>0</v>
      </c>
      <c r="P59" s="127">
        <f t="shared" si="52"/>
        <v>0</v>
      </c>
      <c r="Q59" s="127">
        <f t="shared" si="52"/>
        <v>0</v>
      </c>
      <c r="R59" s="457"/>
      <c r="S59" s="378"/>
      <c r="T59" s="37"/>
      <c r="U59" s="37"/>
      <c r="V59" s="37"/>
      <c r="W59" s="37"/>
      <c r="X59" s="37"/>
      <c r="Y59" s="37"/>
      <c r="Z59" s="126"/>
      <c r="AA59" s="126"/>
      <c r="AB59" s="126"/>
      <c r="AC59" s="126"/>
      <c r="AD59" s="126"/>
      <c r="AE59" s="126"/>
      <c r="AF59" s="126">
        <f t="shared" si="57"/>
        <v>0</v>
      </c>
      <c r="AG59" s="126">
        <f t="shared" si="53"/>
        <v>0</v>
      </c>
      <c r="AH59" s="126"/>
      <c r="AI59" s="126">
        <f>AI58</f>
        <v>0</v>
      </c>
      <c r="AJ59" s="126">
        <f t="shared" si="54"/>
        <v>0</v>
      </c>
      <c r="AK59" s="126"/>
      <c r="AL59" s="126">
        <f>AL58</f>
        <v>0</v>
      </c>
      <c r="AM59" s="125">
        <f t="shared" si="55"/>
        <v>0</v>
      </c>
      <c r="AN59" s="126"/>
      <c r="AO59" s="125">
        <f t="shared" si="82"/>
        <v>0</v>
      </c>
      <c r="AP59" s="125">
        <f t="shared" si="82"/>
        <v>0</v>
      </c>
      <c r="AQ59" s="125"/>
      <c r="AR59" s="128" t="str">
        <f t="shared" si="49"/>
        <v/>
      </c>
      <c r="AS59" s="129"/>
      <c r="AT59" s="129">
        <f>AT58</f>
        <v>0</v>
      </c>
      <c r="AU59" s="129"/>
      <c r="AV59" s="125">
        <f>AV58</f>
        <v>0</v>
      </c>
      <c r="AW59" s="125">
        <f t="shared" si="83"/>
        <v>0</v>
      </c>
      <c r="AX59" s="125"/>
      <c r="AY59" s="125"/>
      <c r="AZ59" s="125"/>
      <c r="BA59" s="125"/>
      <c r="BB59" s="125"/>
      <c r="BC59" s="125"/>
      <c r="BD59" s="125"/>
      <c r="BE59" s="125"/>
      <c r="BF59" s="125"/>
      <c r="BG59" s="125"/>
      <c r="BH59" s="125"/>
      <c r="BI59" s="125"/>
      <c r="BJ59" s="125"/>
      <c r="BK59" s="125"/>
      <c r="BL59" s="125"/>
      <c r="BM59" s="484"/>
      <c r="BN59" s="130"/>
      <c r="BO59" s="130"/>
      <c r="BP59" s="130"/>
      <c r="BQ59" s="130"/>
      <c r="BR59" s="130"/>
      <c r="BS59" s="130"/>
      <c r="BT59" s="130"/>
      <c r="BW59" s="25"/>
      <c r="BX59" s="26"/>
    </row>
    <row r="60" spans="1:76" s="158" customFormat="1" ht="12" hidden="1" customHeight="1" outlineLevel="1" x14ac:dyDescent="0.25">
      <c r="A60" s="416"/>
      <c r="B60" s="375"/>
      <c r="C60" s="139" t="s">
        <v>69</v>
      </c>
      <c r="D60" s="139" t="s">
        <v>70</v>
      </c>
      <c r="E60" s="140"/>
      <c r="F60" s="141"/>
      <c r="G60" s="485"/>
      <c r="H60" s="488"/>
      <c r="I60" s="141"/>
      <c r="J60" s="141"/>
      <c r="K60" s="468"/>
      <c r="L60" s="491" t="s">
        <v>80</v>
      </c>
      <c r="M60" s="494"/>
      <c r="N60" s="143">
        <f>O60/1.12</f>
        <v>0</v>
      </c>
      <c r="O60" s="143"/>
      <c r="P60" s="143">
        <f t="shared" si="52"/>
        <v>0</v>
      </c>
      <c r="Q60" s="143">
        <f t="shared" si="52"/>
        <v>0</v>
      </c>
      <c r="R60" s="457"/>
      <c r="S60" s="488"/>
      <c r="T60" s="144"/>
      <c r="U60" s="144"/>
      <c r="V60" s="144"/>
      <c r="W60" s="144"/>
      <c r="X60" s="144"/>
      <c r="Y60" s="144"/>
      <c r="Z60" s="141"/>
      <c r="AA60" s="141"/>
      <c r="AB60" s="141"/>
      <c r="AC60" s="141"/>
      <c r="AD60" s="141"/>
      <c r="AE60" s="141"/>
      <c r="AF60" s="141">
        <f t="shared" si="57"/>
        <v>0</v>
      </c>
      <c r="AG60" s="141">
        <f t="shared" si="53"/>
        <v>0</v>
      </c>
      <c r="AH60" s="141"/>
      <c r="AI60" s="141"/>
      <c r="AJ60" s="141">
        <f t="shared" si="54"/>
        <v>0</v>
      </c>
      <c r="AK60" s="141"/>
      <c r="AL60" s="145"/>
      <c r="AM60" s="140">
        <f t="shared" si="55"/>
        <v>0</v>
      </c>
      <c r="AN60" s="145"/>
      <c r="AO60" s="140">
        <f>AL60-AI60</f>
        <v>0</v>
      </c>
      <c r="AP60" s="140">
        <f>AM60-AJ60</f>
        <v>0</v>
      </c>
      <c r="AQ60" s="140"/>
      <c r="AR60" s="146" t="str">
        <f t="shared" si="49"/>
        <v/>
      </c>
      <c r="AS60" s="147"/>
      <c r="AT60" s="147"/>
      <c r="AU60" s="147"/>
      <c r="AV60" s="140"/>
      <c r="AW60" s="140">
        <f>AV60</f>
        <v>0</v>
      </c>
      <c r="AX60" s="140"/>
      <c r="AY60" s="140"/>
      <c r="AZ60" s="140"/>
      <c r="BA60" s="140"/>
      <c r="BB60" s="140"/>
      <c r="BC60" s="140"/>
      <c r="BD60" s="140"/>
      <c r="BE60" s="140"/>
      <c r="BF60" s="140"/>
      <c r="BG60" s="140"/>
      <c r="BH60" s="140"/>
      <c r="BI60" s="140"/>
      <c r="BJ60" s="140"/>
      <c r="BK60" s="140"/>
      <c r="BL60" s="140"/>
      <c r="BM60" s="497"/>
      <c r="BN60" s="148"/>
      <c r="BO60" s="148"/>
      <c r="BP60" s="148"/>
      <c r="BQ60" s="148"/>
      <c r="BR60" s="148"/>
      <c r="BS60" s="148"/>
      <c r="BT60" s="148"/>
      <c r="BW60" s="159"/>
      <c r="BX60" s="160"/>
    </row>
    <row r="61" spans="1:76" s="158" customFormat="1" ht="12" hidden="1" customHeight="1" outlineLevel="1" x14ac:dyDescent="0.25">
      <c r="A61" s="416"/>
      <c r="B61" s="375"/>
      <c r="C61" s="139" t="s">
        <v>71</v>
      </c>
      <c r="D61" s="139" t="s">
        <v>72</v>
      </c>
      <c r="E61" s="140"/>
      <c r="F61" s="141"/>
      <c r="G61" s="486"/>
      <c r="H61" s="489"/>
      <c r="I61" s="141"/>
      <c r="J61" s="141"/>
      <c r="K61" s="468"/>
      <c r="L61" s="492"/>
      <c r="M61" s="495"/>
      <c r="N61" s="143">
        <f>N60</f>
        <v>0</v>
      </c>
      <c r="O61" s="143">
        <f>O60</f>
        <v>0</v>
      </c>
      <c r="P61" s="143">
        <f t="shared" si="52"/>
        <v>0</v>
      </c>
      <c r="Q61" s="143">
        <f t="shared" si="52"/>
        <v>0</v>
      </c>
      <c r="R61" s="457"/>
      <c r="S61" s="489"/>
      <c r="T61" s="144"/>
      <c r="U61" s="144"/>
      <c r="V61" s="144"/>
      <c r="W61" s="144"/>
      <c r="X61" s="144"/>
      <c r="Y61" s="144"/>
      <c r="Z61" s="141"/>
      <c r="AA61" s="141"/>
      <c r="AB61" s="141"/>
      <c r="AC61" s="141"/>
      <c r="AD61" s="141"/>
      <c r="AE61" s="141"/>
      <c r="AF61" s="141">
        <f t="shared" si="57"/>
        <v>0</v>
      </c>
      <c r="AG61" s="141">
        <f t="shared" si="53"/>
        <v>0</v>
      </c>
      <c r="AH61" s="141"/>
      <c r="AI61" s="141"/>
      <c r="AJ61" s="141">
        <f t="shared" si="54"/>
        <v>0</v>
      </c>
      <c r="AK61" s="141"/>
      <c r="AL61" s="141"/>
      <c r="AM61" s="140">
        <f t="shared" si="55"/>
        <v>0</v>
      </c>
      <c r="AN61" s="141"/>
      <c r="AO61" s="140">
        <f t="shared" ref="AO61:AP62" si="84">AL61-AI61</f>
        <v>0</v>
      </c>
      <c r="AP61" s="140">
        <f t="shared" si="84"/>
        <v>0</v>
      </c>
      <c r="AQ61" s="140"/>
      <c r="AR61" s="146" t="str">
        <f t="shared" si="49"/>
        <v/>
      </c>
      <c r="AS61" s="147"/>
      <c r="AT61" s="147"/>
      <c r="AU61" s="147"/>
      <c r="AV61" s="140">
        <f>AV60</f>
        <v>0</v>
      </c>
      <c r="AW61" s="140">
        <f t="shared" ref="AW61:AW62" si="85">AV61*1.12</f>
        <v>0</v>
      </c>
      <c r="AX61" s="140"/>
      <c r="AY61" s="140"/>
      <c r="AZ61" s="140"/>
      <c r="BA61" s="140"/>
      <c r="BB61" s="140"/>
      <c r="BC61" s="140"/>
      <c r="BD61" s="140"/>
      <c r="BE61" s="140"/>
      <c r="BF61" s="140"/>
      <c r="BG61" s="140"/>
      <c r="BH61" s="140"/>
      <c r="BI61" s="140"/>
      <c r="BJ61" s="140"/>
      <c r="BK61" s="140"/>
      <c r="BL61" s="140"/>
      <c r="BM61" s="498"/>
      <c r="BN61" s="148"/>
      <c r="BO61" s="148"/>
      <c r="BP61" s="148"/>
      <c r="BQ61" s="148"/>
      <c r="BR61" s="148"/>
      <c r="BS61" s="148"/>
      <c r="BT61" s="148"/>
      <c r="BW61" s="159"/>
      <c r="BX61" s="160"/>
    </row>
    <row r="62" spans="1:76" s="158" customFormat="1" ht="12" hidden="1" customHeight="1" outlineLevel="1" x14ac:dyDescent="0.25">
      <c r="A62" s="416"/>
      <c r="B62" s="375"/>
      <c r="C62" s="152" t="s">
        <v>71</v>
      </c>
      <c r="D62" s="152" t="s">
        <v>73</v>
      </c>
      <c r="E62" s="153"/>
      <c r="F62" s="154"/>
      <c r="G62" s="487"/>
      <c r="H62" s="490"/>
      <c r="I62" s="154"/>
      <c r="J62" s="154"/>
      <c r="K62" s="468"/>
      <c r="L62" s="493"/>
      <c r="M62" s="496"/>
      <c r="N62" s="155">
        <f>N61</f>
        <v>0</v>
      </c>
      <c r="O62" s="155">
        <f>O61</f>
        <v>0</v>
      </c>
      <c r="P62" s="155">
        <f t="shared" si="52"/>
        <v>0</v>
      </c>
      <c r="Q62" s="155">
        <f t="shared" si="52"/>
        <v>0</v>
      </c>
      <c r="R62" s="457"/>
      <c r="S62" s="490"/>
      <c r="T62" s="144"/>
      <c r="U62" s="144"/>
      <c r="V62" s="144"/>
      <c r="W62" s="144"/>
      <c r="X62" s="144"/>
      <c r="Y62" s="144"/>
      <c r="Z62" s="154"/>
      <c r="AA62" s="154"/>
      <c r="AB62" s="154"/>
      <c r="AC62" s="154"/>
      <c r="AD62" s="154"/>
      <c r="AE62" s="154"/>
      <c r="AF62" s="154">
        <f t="shared" si="57"/>
        <v>0</v>
      </c>
      <c r="AG62" s="154">
        <f t="shared" si="53"/>
        <v>0</v>
      </c>
      <c r="AH62" s="154"/>
      <c r="AI62" s="154"/>
      <c r="AJ62" s="154">
        <f t="shared" si="54"/>
        <v>0</v>
      </c>
      <c r="AK62" s="154"/>
      <c r="AL62" s="154"/>
      <c r="AM62" s="153">
        <f t="shared" si="55"/>
        <v>0</v>
      </c>
      <c r="AN62" s="154"/>
      <c r="AO62" s="153">
        <f t="shared" si="84"/>
        <v>0</v>
      </c>
      <c r="AP62" s="153">
        <f t="shared" si="84"/>
        <v>0</v>
      </c>
      <c r="AQ62" s="153"/>
      <c r="AR62" s="156" t="str">
        <f t="shared" si="49"/>
        <v/>
      </c>
      <c r="AS62" s="157"/>
      <c r="AT62" s="157"/>
      <c r="AU62" s="157"/>
      <c r="AV62" s="153">
        <f>AV61</f>
        <v>0</v>
      </c>
      <c r="AW62" s="153">
        <f t="shared" si="85"/>
        <v>0</v>
      </c>
      <c r="AX62" s="153"/>
      <c r="AY62" s="153"/>
      <c r="AZ62" s="153"/>
      <c r="BA62" s="153"/>
      <c r="BB62" s="153"/>
      <c r="BC62" s="153"/>
      <c r="BD62" s="153"/>
      <c r="BE62" s="153"/>
      <c r="BF62" s="153"/>
      <c r="BG62" s="153"/>
      <c r="BH62" s="153"/>
      <c r="BI62" s="153"/>
      <c r="BJ62" s="153"/>
      <c r="BK62" s="153"/>
      <c r="BL62" s="153"/>
      <c r="BM62" s="499"/>
      <c r="BN62" s="142"/>
      <c r="BO62" s="142"/>
      <c r="BP62" s="142"/>
      <c r="BQ62" s="142"/>
      <c r="BR62" s="142"/>
      <c r="BS62" s="142"/>
      <c r="BT62" s="142"/>
      <c r="BW62" s="159"/>
      <c r="BX62" s="160"/>
    </row>
    <row r="63" spans="1:76" s="158" customFormat="1" ht="12" hidden="1" customHeight="1" outlineLevel="1" x14ac:dyDescent="0.25">
      <c r="A63" s="416"/>
      <c r="B63" s="375"/>
      <c r="C63" s="139" t="s">
        <v>69</v>
      </c>
      <c r="D63" s="139" t="s">
        <v>70</v>
      </c>
      <c r="E63" s="140"/>
      <c r="F63" s="141"/>
      <c r="G63" s="485"/>
      <c r="H63" s="488"/>
      <c r="I63" s="141"/>
      <c r="J63" s="141"/>
      <c r="K63" s="468"/>
      <c r="L63" s="491" t="s">
        <v>82</v>
      </c>
      <c r="M63" s="494"/>
      <c r="N63" s="143">
        <f>O63/1.12</f>
        <v>0</v>
      </c>
      <c r="O63" s="143"/>
      <c r="P63" s="143">
        <f t="shared" si="52"/>
        <v>0</v>
      </c>
      <c r="Q63" s="143">
        <f t="shared" si="52"/>
        <v>0</v>
      </c>
      <c r="R63" s="457"/>
      <c r="S63" s="488"/>
      <c r="T63" s="144"/>
      <c r="U63" s="144"/>
      <c r="V63" s="144"/>
      <c r="W63" s="144"/>
      <c r="X63" s="144"/>
      <c r="Y63" s="144"/>
      <c r="Z63" s="141"/>
      <c r="AA63" s="141"/>
      <c r="AB63" s="141"/>
      <c r="AC63" s="141"/>
      <c r="AD63" s="141"/>
      <c r="AE63" s="141"/>
      <c r="AF63" s="141">
        <f t="shared" si="57"/>
        <v>0</v>
      </c>
      <c r="AG63" s="141">
        <f t="shared" si="53"/>
        <v>0</v>
      </c>
      <c r="AH63" s="141"/>
      <c r="AI63" s="141"/>
      <c r="AJ63" s="141">
        <f t="shared" si="54"/>
        <v>0</v>
      </c>
      <c r="AK63" s="141"/>
      <c r="AL63" s="145"/>
      <c r="AM63" s="140">
        <f t="shared" si="55"/>
        <v>0</v>
      </c>
      <c r="AN63" s="145"/>
      <c r="AO63" s="140">
        <f>AL63-AI63</f>
        <v>0</v>
      </c>
      <c r="AP63" s="140">
        <f>AM63-AJ63</f>
        <v>0</v>
      </c>
      <c r="AQ63" s="140"/>
      <c r="AR63" s="146" t="str">
        <f t="shared" si="49"/>
        <v/>
      </c>
      <c r="AS63" s="147"/>
      <c r="AT63" s="147"/>
      <c r="AU63" s="147"/>
      <c r="AV63" s="140"/>
      <c r="AW63" s="140">
        <f>AV63</f>
        <v>0</v>
      </c>
      <c r="AX63" s="140"/>
      <c r="AY63" s="140"/>
      <c r="AZ63" s="140"/>
      <c r="BA63" s="140"/>
      <c r="BB63" s="140"/>
      <c r="BC63" s="140"/>
      <c r="BD63" s="140"/>
      <c r="BE63" s="140"/>
      <c r="BF63" s="140"/>
      <c r="BG63" s="140"/>
      <c r="BH63" s="140"/>
      <c r="BI63" s="140"/>
      <c r="BJ63" s="140"/>
      <c r="BK63" s="140"/>
      <c r="BL63" s="140"/>
      <c r="BM63" s="497"/>
      <c r="BN63" s="148"/>
      <c r="BO63" s="148"/>
      <c r="BP63" s="148"/>
      <c r="BQ63" s="148"/>
      <c r="BR63" s="148"/>
      <c r="BS63" s="148"/>
      <c r="BT63" s="148"/>
      <c r="BW63" s="159"/>
      <c r="BX63" s="160"/>
    </row>
    <row r="64" spans="1:76" s="158" customFormat="1" ht="12" hidden="1" customHeight="1" outlineLevel="1" x14ac:dyDescent="0.25">
      <c r="A64" s="416"/>
      <c r="B64" s="375"/>
      <c r="C64" s="139" t="s">
        <v>71</v>
      </c>
      <c r="D64" s="139" t="s">
        <v>72</v>
      </c>
      <c r="E64" s="140"/>
      <c r="F64" s="141"/>
      <c r="G64" s="486"/>
      <c r="H64" s="489"/>
      <c r="I64" s="141"/>
      <c r="J64" s="141"/>
      <c r="K64" s="468"/>
      <c r="L64" s="492"/>
      <c r="M64" s="495"/>
      <c r="N64" s="143">
        <f>N63</f>
        <v>0</v>
      </c>
      <c r="O64" s="143">
        <f>O63</f>
        <v>0</v>
      </c>
      <c r="P64" s="143">
        <f t="shared" si="52"/>
        <v>0</v>
      </c>
      <c r="Q64" s="143">
        <f t="shared" si="52"/>
        <v>0</v>
      </c>
      <c r="R64" s="457"/>
      <c r="S64" s="489"/>
      <c r="T64" s="144"/>
      <c r="U64" s="144"/>
      <c r="V64" s="144"/>
      <c r="W64" s="144"/>
      <c r="X64" s="144"/>
      <c r="Y64" s="144"/>
      <c r="Z64" s="141"/>
      <c r="AA64" s="141"/>
      <c r="AB64" s="141"/>
      <c r="AC64" s="141"/>
      <c r="AD64" s="141"/>
      <c r="AE64" s="141"/>
      <c r="AF64" s="141">
        <f t="shared" si="57"/>
        <v>0</v>
      </c>
      <c r="AG64" s="141">
        <f t="shared" si="53"/>
        <v>0</v>
      </c>
      <c r="AH64" s="141"/>
      <c r="AI64" s="141"/>
      <c r="AJ64" s="141">
        <f t="shared" si="54"/>
        <v>0</v>
      </c>
      <c r="AK64" s="141"/>
      <c r="AL64" s="141"/>
      <c r="AM64" s="140">
        <f t="shared" si="55"/>
        <v>0</v>
      </c>
      <c r="AN64" s="141"/>
      <c r="AO64" s="140">
        <f t="shared" ref="AO64:AP65" si="86">AL64-AI64</f>
        <v>0</v>
      </c>
      <c r="AP64" s="140">
        <f t="shared" si="86"/>
        <v>0</v>
      </c>
      <c r="AQ64" s="140"/>
      <c r="AR64" s="146" t="str">
        <f t="shared" si="49"/>
        <v/>
      </c>
      <c r="AS64" s="147"/>
      <c r="AT64" s="147"/>
      <c r="AU64" s="147"/>
      <c r="AV64" s="140">
        <f>AV63</f>
        <v>0</v>
      </c>
      <c r="AW64" s="140">
        <f t="shared" ref="AW64:AW65" si="87">AV64*1.12</f>
        <v>0</v>
      </c>
      <c r="AX64" s="140"/>
      <c r="AY64" s="140"/>
      <c r="AZ64" s="140"/>
      <c r="BA64" s="140"/>
      <c r="BB64" s="140"/>
      <c r="BC64" s="140"/>
      <c r="BD64" s="140"/>
      <c r="BE64" s="140"/>
      <c r="BF64" s="140"/>
      <c r="BG64" s="140"/>
      <c r="BH64" s="140"/>
      <c r="BI64" s="140"/>
      <c r="BJ64" s="140"/>
      <c r="BK64" s="140"/>
      <c r="BL64" s="140"/>
      <c r="BM64" s="498"/>
      <c r="BN64" s="148"/>
      <c r="BO64" s="148"/>
      <c r="BP64" s="148"/>
      <c r="BQ64" s="148"/>
      <c r="BR64" s="148"/>
      <c r="BS64" s="148"/>
      <c r="BT64" s="148"/>
      <c r="BW64" s="159"/>
      <c r="BX64" s="160"/>
    </row>
    <row r="65" spans="1:76" s="158" customFormat="1" ht="12" hidden="1" customHeight="1" outlineLevel="1" x14ac:dyDescent="0.25">
      <c r="A65" s="416"/>
      <c r="B65" s="375"/>
      <c r="C65" s="152" t="s">
        <v>71</v>
      </c>
      <c r="D65" s="152" t="s">
        <v>73</v>
      </c>
      <c r="E65" s="153"/>
      <c r="F65" s="154"/>
      <c r="G65" s="487"/>
      <c r="H65" s="490"/>
      <c r="I65" s="154"/>
      <c r="J65" s="154"/>
      <c r="K65" s="468"/>
      <c r="L65" s="493"/>
      <c r="M65" s="496"/>
      <c r="N65" s="155">
        <f>N64</f>
        <v>0</v>
      </c>
      <c r="O65" s="155">
        <f>O64</f>
        <v>0</v>
      </c>
      <c r="P65" s="155">
        <f t="shared" si="52"/>
        <v>0</v>
      </c>
      <c r="Q65" s="155">
        <f t="shared" si="52"/>
        <v>0</v>
      </c>
      <c r="R65" s="457"/>
      <c r="S65" s="490"/>
      <c r="T65" s="144"/>
      <c r="U65" s="144"/>
      <c r="V65" s="144"/>
      <c r="W65" s="144"/>
      <c r="X65" s="144"/>
      <c r="Y65" s="144"/>
      <c r="Z65" s="154"/>
      <c r="AA65" s="154"/>
      <c r="AB65" s="154"/>
      <c r="AC65" s="154"/>
      <c r="AD65" s="154"/>
      <c r="AE65" s="154"/>
      <c r="AF65" s="154">
        <f t="shared" si="57"/>
        <v>0</v>
      </c>
      <c r="AG65" s="154">
        <f t="shared" si="53"/>
        <v>0</v>
      </c>
      <c r="AH65" s="154"/>
      <c r="AI65" s="154"/>
      <c r="AJ65" s="154">
        <f t="shared" si="54"/>
        <v>0</v>
      </c>
      <c r="AK65" s="154"/>
      <c r="AL65" s="154"/>
      <c r="AM65" s="153">
        <f t="shared" si="55"/>
        <v>0</v>
      </c>
      <c r="AN65" s="154"/>
      <c r="AO65" s="153">
        <f t="shared" si="86"/>
        <v>0</v>
      </c>
      <c r="AP65" s="153">
        <f t="shared" si="86"/>
        <v>0</v>
      </c>
      <c r="AQ65" s="153"/>
      <c r="AR65" s="156" t="str">
        <f t="shared" si="49"/>
        <v/>
      </c>
      <c r="AS65" s="157"/>
      <c r="AT65" s="157"/>
      <c r="AU65" s="157"/>
      <c r="AV65" s="153">
        <f>AV64</f>
        <v>0</v>
      </c>
      <c r="AW65" s="153">
        <f t="shared" si="87"/>
        <v>0</v>
      </c>
      <c r="AX65" s="153"/>
      <c r="AY65" s="153"/>
      <c r="AZ65" s="153"/>
      <c r="BA65" s="153"/>
      <c r="BB65" s="153"/>
      <c r="BC65" s="153"/>
      <c r="BD65" s="153"/>
      <c r="BE65" s="153"/>
      <c r="BF65" s="153"/>
      <c r="BG65" s="153"/>
      <c r="BH65" s="153"/>
      <c r="BI65" s="153"/>
      <c r="BJ65" s="153"/>
      <c r="BK65" s="153"/>
      <c r="BL65" s="153"/>
      <c r="BM65" s="499"/>
      <c r="BN65" s="142"/>
      <c r="BO65" s="142"/>
      <c r="BP65" s="142"/>
      <c r="BQ65" s="142"/>
      <c r="BR65" s="142"/>
      <c r="BS65" s="142"/>
      <c r="BT65" s="142"/>
      <c r="BW65" s="159"/>
      <c r="BX65" s="160"/>
    </row>
    <row r="66" spans="1:76" s="158" customFormat="1" ht="12" hidden="1" customHeight="1" outlineLevel="1" x14ac:dyDescent="0.25">
      <c r="A66" s="416"/>
      <c r="B66" s="375"/>
      <c r="C66" s="139" t="s">
        <v>69</v>
      </c>
      <c r="D66" s="139" t="s">
        <v>70</v>
      </c>
      <c r="E66" s="140"/>
      <c r="F66" s="141"/>
      <c r="G66" s="485"/>
      <c r="H66" s="488"/>
      <c r="I66" s="141"/>
      <c r="J66" s="141"/>
      <c r="K66" s="468"/>
      <c r="L66" s="491" t="s">
        <v>84</v>
      </c>
      <c r="M66" s="494"/>
      <c r="N66" s="143">
        <f>O66/1.12</f>
        <v>0</v>
      </c>
      <c r="O66" s="143"/>
      <c r="P66" s="143">
        <f t="shared" si="52"/>
        <v>0</v>
      </c>
      <c r="Q66" s="143">
        <f t="shared" si="52"/>
        <v>0</v>
      </c>
      <c r="R66" s="457"/>
      <c r="S66" s="488"/>
      <c r="T66" s="144"/>
      <c r="U66" s="144"/>
      <c r="V66" s="144"/>
      <c r="W66" s="144"/>
      <c r="X66" s="144"/>
      <c r="Y66" s="144"/>
      <c r="Z66" s="141"/>
      <c r="AA66" s="141"/>
      <c r="AB66" s="141"/>
      <c r="AC66" s="141"/>
      <c r="AD66" s="141"/>
      <c r="AE66" s="141"/>
      <c r="AF66" s="141">
        <f t="shared" si="57"/>
        <v>0</v>
      </c>
      <c r="AG66" s="141">
        <f t="shared" si="53"/>
        <v>0</v>
      </c>
      <c r="AH66" s="141"/>
      <c r="AI66" s="141"/>
      <c r="AJ66" s="141">
        <f t="shared" si="54"/>
        <v>0</v>
      </c>
      <c r="AK66" s="141"/>
      <c r="AL66" s="145"/>
      <c r="AM66" s="140">
        <f t="shared" si="55"/>
        <v>0</v>
      </c>
      <c r="AN66" s="145"/>
      <c r="AO66" s="140">
        <f>AL66-AI66</f>
        <v>0</v>
      </c>
      <c r="AP66" s="140">
        <f>AM66-AJ66</f>
        <v>0</v>
      </c>
      <c r="AQ66" s="140"/>
      <c r="AR66" s="146" t="str">
        <f t="shared" si="49"/>
        <v/>
      </c>
      <c r="AS66" s="147"/>
      <c r="AT66" s="147"/>
      <c r="AU66" s="147"/>
      <c r="AV66" s="140"/>
      <c r="AW66" s="140">
        <f>AV66</f>
        <v>0</v>
      </c>
      <c r="AX66" s="140"/>
      <c r="AY66" s="140"/>
      <c r="AZ66" s="140"/>
      <c r="BA66" s="140"/>
      <c r="BB66" s="140"/>
      <c r="BC66" s="140"/>
      <c r="BD66" s="140"/>
      <c r="BE66" s="140"/>
      <c r="BF66" s="140"/>
      <c r="BG66" s="140"/>
      <c r="BH66" s="140"/>
      <c r="BI66" s="140"/>
      <c r="BJ66" s="140"/>
      <c r="BK66" s="140"/>
      <c r="BL66" s="140"/>
      <c r="BM66" s="497"/>
      <c r="BN66" s="148"/>
      <c r="BO66" s="148"/>
      <c r="BP66" s="148"/>
      <c r="BQ66" s="148"/>
      <c r="BR66" s="148"/>
      <c r="BS66" s="148"/>
      <c r="BT66" s="148"/>
      <c r="BW66" s="159"/>
      <c r="BX66" s="160"/>
    </row>
    <row r="67" spans="1:76" s="158" customFormat="1" ht="12" hidden="1" customHeight="1" outlineLevel="1" x14ac:dyDescent="0.25">
      <c r="A67" s="416"/>
      <c r="B67" s="375"/>
      <c r="C67" s="139" t="s">
        <v>71</v>
      </c>
      <c r="D67" s="139" t="s">
        <v>72</v>
      </c>
      <c r="E67" s="140"/>
      <c r="F67" s="141"/>
      <c r="G67" s="486"/>
      <c r="H67" s="489"/>
      <c r="I67" s="141"/>
      <c r="J67" s="141"/>
      <c r="K67" s="468"/>
      <c r="L67" s="492"/>
      <c r="M67" s="495"/>
      <c r="N67" s="143">
        <f>N66</f>
        <v>0</v>
      </c>
      <c r="O67" s="143">
        <f>O66</f>
        <v>0</v>
      </c>
      <c r="P67" s="143">
        <f t="shared" si="52"/>
        <v>0</v>
      </c>
      <c r="Q67" s="143">
        <f t="shared" si="52"/>
        <v>0</v>
      </c>
      <c r="R67" s="457"/>
      <c r="S67" s="489"/>
      <c r="T67" s="144"/>
      <c r="U67" s="144"/>
      <c r="V67" s="144"/>
      <c r="W67" s="144"/>
      <c r="X67" s="144"/>
      <c r="Y67" s="144"/>
      <c r="Z67" s="141"/>
      <c r="AA67" s="141"/>
      <c r="AB67" s="141"/>
      <c r="AC67" s="141"/>
      <c r="AD67" s="141"/>
      <c r="AE67" s="141"/>
      <c r="AF67" s="141">
        <f t="shared" si="57"/>
        <v>0</v>
      </c>
      <c r="AG67" s="141">
        <f t="shared" si="53"/>
        <v>0</v>
      </c>
      <c r="AH67" s="141"/>
      <c r="AI67" s="141"/>
      <c r="AJ67" s="141">
        <f t="shared" si="54"/>
        <v>0</v>
      </c>
      <c r="AK67" s="141"/>
      <c r="AL67" s="141"/>
      <c r="AM67" s="140">
        <f t="shared" si="55"/>
        <v>0</v>
      </c>
      <c r="AN67" s="141"/>
      <c r="AO67" s="140">
        <f t="shared" ref="AO67:AP68" si="88">AL67-AI67</f>
        <v>0</v>
      </c>
      <c r="AP67" s="140">
        <f t="shared" si="88"/>
        <v>0</v>
      </c>
      <c r="AQ67" s="140"/>
      <c r="AR67" s="146" t="str">
        <f t="shared" si="49"/>
        <v/>
      </c>
      <c r="AS67" s="147"/>
      <c r="AT67" s="147"/>
      <c r="AU67" s="147"/>
      <c r="AV67" s="140">
        <f>AV66</f>
        <v>0</v>
      </c>
      <c r="AW67" s="140">
        <f t="shared" ref="AW67:AW68" si="89">AV67*1.12</f>
        <v>0</v>
      </c>
      <c r="AX67" s="140"/>
      <c r="AY67" s="140"/>
      <c r="AZ67" s="140"/>
      <c r="BA67" s="140"/>
      <c r="BB67" s="140"/>
      <c r="BC67" s="140"/>
      <c r="BD67" s="140"/>
      <c r="BE67" s="140"/>
      <c r="BF67" s="140"/>
      <c r="BG67" s="140"/>
      <c r="BH67" s="140"/>
      <c r="BI67" s="140"/>
      <c r="BJ67" s="140"/>
      <c r="BK67" s="140"/>
      <c r="BL67" s="140"/>
      <c r="BM67" s="498"/>
      <c r="BN67" s="148"/>
      <c r="BO67" s="148"/>
      <c r="BP67" s="148"/>
      <c r="BQ67" s="148"/>
      <c r="BR67" s="148"/>
      <c r="BS67" s="148"/>
      <c r="BT67" s="148"/>
      <c r="BW67" s="159"/>
      <c r="BX67" s="160"/>
    </row>
    <row r="68" spans="1:76" s="158" customFormat="1" ht="12" hidden="1" customHeight="1" outlineLevel="1" x14ac:dyDescent="0.25">
      <c r="A68" s="416"/>
      <c r="B68" s="375"/>
      <c r="C68" s="152" t="s">
        <v>71</v>
      </c>
      <c r="D68" s="152" t="s">
        <v>73</v>
      </c>
      <c r="E68" s="153"/>
      <c r="F68" s="154"/>
      <c r="G68" s="487"/>
      <c r="H68" s="490"/>
      <c r="I68" s="154"/>
      <c r="J68" s="154"/>
      <c r="K68" s="468"/>
      <c r="L68" s="493"/>
      <c r="M68" s="496"/>
      <c r="N68" s="155">
        <f>N67</f>
        <v>0</v>
      </c>
      <c r="O68" s="155">
        <f>O67</f>
        <v>0</v>
      </c>
      <c r="P68" s="155">
        <f t="shared" si="52"/>
        <v>0</v>
      </c>
      <c r="Q68" s="155">
        <f t="shared" si="52"/>
        <v>0</v>
      </c>
      <c r="R68" s="457"/>
      <c r="S68" s="490"/>
      <c r="T68" s="144"/>
      <c r="U68" s="144"/>
      <c r="V68" s="144"/>
      <c r="W68" s="144"/>
      <c r="X68" s="144"/>
      <c r="Y68" s="144"/>
      <c r="Z68" s="154"/>
      <c r="AA68" s="154"/>
      <c r="AB68" s="154"/>
      <c r="AC68" s="154"/>
      <c r="AD68" s="154"/>
      <c r="AE68" s="154"/>
      <c r="AF68" s="154">
        <f t="shared" si="57"/>
        <v>0</v>
      </c>
      <c r="AG68" s="154">
        <f t="shared" si="53"/>
        <v>0</v>
      </c>
      <c r="AH68" s="154"/>
      <c r="AI68" s="154"/>
      <c r="AJ68" s="154">
        <f t="shared" si="54"/>
        <v>0</v>
      </c>
      <c r="AK68" s="154"/>
      <c r="AL68" s="154"/>
      <c r="AM68" s="153">
        <f t="shared" si="55"/>
        <v>0</v>
      </c>
      <c r="AN68" s="154"/>
      <c r="AO68" s="153">
        <f t="shared" si="88"/>
        <v>0</v>
      </c>
      <c r="AP68" s="153">
        <f t="shared" si="88"/>
        <v>0</v>
      </c>
      <c r="AQ68" s="153"/>
      <c r="AR68" s="156" t="str">
        <f t="shared" si="49"/>
        <v/>
      </c>
      <c r="AS68" s="157"/>
      <c r="AT68" s="157"/>
      <c r="AU68" s="157"/>
      <c r="AV68" s="153">
        <f>AV67</f>
        <v>0</v>
      </c>
      <c r="AW68" s="153">
        <f t="shared" si="89"/>
        <v>0</v>
      </c>
      <c r="AX68" s="153"/>
      <c r="AY68" s="153"/>
      <c r="AZ68" s="153"/>
      <c r="BA68" s="153"/>
      <c r="BB68" s="153"/>
      <c r="BC68" s="153"/>
      <c r="BD68" s="153"/>
      <c r="BE68" s="153"/>
      <c r="BF68" s="153"/>
      <c r="BG68" s="153"/>
      <c r="BH68" s="153"/>
      <c r="BI68" s="153"/>
      <c r="BJ68" s="153"/>
      <c r="BK68" s="153"/>
      <c r="BL68" s="153"/>
      <c r="BM68" s="499"/>
      <c r="BN68" s="142"/>
      <c r="BO68" s="142"/>
      <c r="BP68" s="142"/>
      <c r="BQ68" s="142"/>
      <c r="BR68" s="142"/>
      <c r="BS68" s="142"/>
      <c r="BT68" s="142"/>
      <c r="BW68" s="159"/>
      <c r="BX68" s="160"/>
    </row>
    <row r="69" spans="1:76" s="158" customFormat="1" ht="12" hidden="1" customHeight="1" outlineLevel="1" x14ac:dyDescent="0.25">
      <c r="A69" s="416"/>
      <c r="B69" s="375"/>
      <c r="C69" s="139" t="s">
        <v>69</v>
      </c>
      <c r="D69" s="139" t="s">
        <v>70</v>
      </c>
      <c r="E69" s="140"/>
      <c r="F69" s="141"/>
      <c r="G69" s="485"/>
      <c r="H69" s="488"/>
      <c r="I69" s="141"/>
      <c r="J69" s="141"/>
      <c r="K69" s="468"/>
      <c r="L69" s="491" t="s">
        <v>86</v>
      </c>
      <c r="M69" s="494"/>
      <c r="N69" s="143">
        <f>O69/1.12</f>
        <v>0</v>
      </c>
      <c r="O69" s="143"/>
      <c r="P69" s="143">
        <f t="shared" si="52"/>
        <v>0</v>
      </c>
      <c r="Q69" s="143">
        <f t="shared" si="52"/>
        <v>0</v>
      </c>
      <c r="R69" s="457"/>
      <c r="S69" s="488"/>
      <c r="T69" s="144"/>
      <c r="U69" s="144"/>
      <c r="V69" s="144"/>
      <c r="W69" s="144"/>
      <c r="X69" s="144"/>
      <c r="Y69" s="144"/>
      <c r="Z69" s="141"/>
      <c r="AA69" s="141"/>
      <c r="AB69" s="141"/>
      <c r="AC69" s="141"/>
      <c r="AD69" s="141"/>
      <c r="AE69" s="141"/>
      <c r="AF69" s="141">
        <f t="shared" si="57"/>
        <v>0</v>
      </c>
      <c r="AG69" s="141">
        <f t="shared" si="53"/>
        <v>0</v>
      </c>
      <c r="AH69" s="141"/>
      <c r="AI69" s="141"/>
      <c r="AJ69" s="141">
        <f t="shared" si="54"/>
        <v>0</v>
      </c>
      <c r="AK69" s="141"/>
      <c r="AL69" s="145"/>
      <c r="AM69" s="140">
        <f t="shared" si="55"/>
        <v>0</v>
      </c>
      <c r="AN69" s="145"/>
      <c r="AO69" s="140">
        <f>AL69-AI69</f>
        <v>0</v>
      </c>
      <c r="AP69" s="140">
        <f>AM69-AJ69</f>
        <v>0</v>
      </c>
      <c r="AQ69" s="140"/>
      <c r="AR69" s="146" t="str">
        <f t="shared" si="49"/>
        <v/>
      </c>
      <c r="AS69" s="147"/>
      <c r="AT69" s="147"/>
      <c r="AU69" s="147"/>
      <c r="AV69" s="140"/>
      <c r="AW69" s="140">
        <f>AV69</f>
        <v>0</v>
      </c>
      <c r="AX69" s="140"/>
      <c r="AY69" s="140"/>
      <c r="AZ69" s="140"/>
      <c r="BA69" s="140"/>
      <c r="BB69" s="140"/>
      <c r="BC69" s="140"/>
      <c r="BD69" s="140"/>
      <c r="BE69" s="140"/>
      <c r="BF69" s="140"/>
      <c r="BG69" s="140"/>
      <c r="BH69" s="140"/>
      <c r="BI69" s="140"/>
      <c r="BJ69" s="140"/>
      <c r="BK69" s="140"/>
      <c r="BL69" s="140"/>
      <c r="BM69" s="497"/>
      <c r="BN69" s="148"/>
      <c r="BO69" s="148"/>
      <c r="BP69" s="148"/>
      <c r="BQ69" s="148"/>
      <c r="BR69" s="148"/>
      <c r="BS69" s="148"/>
      <c r="BT69" s="148"/>
      <c r="BW69" s="159"/>
      <c r="BX69" s="160"/>
    </row>
    <row r="70" spans="1:76" s="158" customFormat="1" ht="12" hidden="1" customHeight="1" outlineLevel="1" x14ac:dyDescent="0.25">
      <c r="A70" s="416"/>
      <c r="B70" s="375"/>
      <c r="C70" s="139" t="s">
        <v>71</v>
      </c>
      <c r="D70" s="139" t="s">
        <v>72</v>
      </c>
      <c r="E70" s="140"/>
      <c r="F70" s="141"/>
      <c r="G70" s="486"/>
      <c r="H70" s="489"/>
      <c r="I70" s="141"/>
      <c r="J70" s="141"/>
      <c r="K70" s="468"/>
      <c r="L70" s="492"/>
      <c r="M70" s="495"/>
      <c r="N70" s="143">
        <f>N69</f>
        <v>0</v>
      </c>
      <c r="O70" s="143">
        <f>O69</f>
        <v>0</v>
      </c>
      <c r="P70" s="143">
        <f t="shared" si="52"/>
        <v>0</v>
      </c>
      <c r="Q70" s="143">
        <f t="shared" si="52"/>
        <v>0</v>
      </c>
      <c r="R70" s="457"/>
      <c r="S70" s="489"/>
      <c r="T70" s="144"/>
      <c r="U70" s="144"/>
      <c r="V70" s="144"/>
      <c r="W70" s="144"/>
      <c r="X70" s="144"/>
      <c r="Y70" s="144"/>
      <c r="Z70" s="141"/>
      <c r="AA70" s="141"/>
      <c r="AB70" s="141"/>
      <c r="AC70" s="141"/>
      <c r="AD70" s="141"/>
      <c r="AE70" s="141"/>
      <c r="AF70" s="141">
        <f t="shared" si="57"/>
        <v>0</v>
      </c>
      <c r="AG70" s="141">
        <f t="shared" si="53"/>
        <v>0</v>
      </c>
      <c r="AH70" s="141"/>
      <c r="AI70" s="141"/>
      <c r="AJ70" s="141">
        <f t="shared" si="54"/>
        <v>0</v>
      </c>
      <c r="AK70" s="141"/>
      <c r="AL70" s="141"/>
      <c r="AM70" s="140">
        <f t="shared" si="55"/>
        <v>0</v>
      </c>
      <c r="AN70" s="141"/>
      <c r="AO70" s="140">
        <f t="shared" ref="AO70:AP71" si="90">AL70-AI70</f>
        <v>0</v>
      </c>
      <c r="AP70" s="140">
        <f t="shared" si="90"/>
        <v>0</v>
      </c>
      <c r="AQ70" s="140"/>
      <c r="AR70" s="146" t="str">
        <f t="shared" si="49"/>
        <v/>
      </c>
      <c r="AS70" s="147"/>
      <c r="AT70" s="147"/>
      <c r="AU70" s="147"/>
      <c r="AV70" s="140">
        <f>AV69</f>
        <v>0</v>
      </c>
      <c r="AW70" s="140">
        <f t="shared" ref="AW70:AW71" si="91">AV70*1.12</f>
        <v>0</v>
      </c>
      <c r="AX70" s="140"/>
      <c r="AY70" s="140"/>
      <c r="AZ70" s="140"/>
      <c r="BA70" s="140"/>
      <c r="BB70" s="140"/>
      <c r="BC70" s="140"/>
      <c r="BD70" s="140"/>
      <c r="BE70" s="140"/>
      <c r="BF70" s="140"/>
      <c r="BG70" s="140"/>
      <c r="BH70" s="140"/>
      <c r="BI70" s="140"/>
      <c r="BJ70" s="140"/>
      <c r="BK70" s="140"/>
      <c r="BL70" s="140"/>
      <c r="BM70" s="498"/>
      <c r="BN70" s="148"/>
      <c r="BO70" s="148"/>
      <c r="BP70" s="148"/>
      <c r="BQ70" s="148"/>
      <c r="BR70" s="148"/>
      <c r="BS70" s="148"/>
      <c r="BT70" s="148"/>
      <c r="BW70" s="159"/>
      <c r="BX70" s="160"/>
    </row>
    <row r="71" spans="1:76" s="158" customFormat="1" ht="12" hidden="1" customHeight="1" outlineLevel="1" x14ac:dyDescent="0.25">
      <c r="A71" s="416"/>
      <c r="B71" s="375"/>
      <c r="C71" s="152" t="s">
        <v>71</v>
      </c>
      <c r="D71" s="152" t="s">
        <v>73</v>
      </c>
      <c r="E71" s="153"/>
      <c r="F71" s="154"/>
      <c r="G71" s="487"/>
      <c r="H71" s="490"/>
      <c r="I71" s="154"/>
      <c r="J71" s="154"/>
      <c r="K71" s="468"/>
      <c r="L71" s="493"/>
      <c r="M71" s="496"/>
      <c r="N71" s="155">
        <f>N70</f>
        <v>0</v>
      </c>
      <c r="O71" s="155">
        <f>O70</f>
        <v>0</v>
      </c>
      <c r="P71" s="155">
        <f t="shared" si="52"/>
        <v>0</v>
      </c>
      <c r="Q71" s="155">
        <f t="shared" si="52"/>
        <v>0</v>
      </c>
      <c r="R71" s="457"/>
      <c r="S71" s="490"/>
      <c r="T71" s="144"/>
      <c r="U71" s="144"/>
      <c r="V71" s="144"/>
      <c r="W71" s="144"/>
      <c r="X71" s="144"/>
      <c r="Y71" s="144"/>
      <c r="Z71" s="154"/>
      <c r="AA71" s="154"/>
      <c r="AB71" s="154"/>
      <c r="AC71" s="154"/>
      <c r="AD71" s="154"/>
      <c r="AE71" s="154"/>
      <c r="AF71" s="154">
        <f t="shared" si="57"/>
        <v>0</v>
      </c>
      <c r="AG71" s="154">
        <f t="shared" si="53"/>
        <v>0</v>
      </c>
      <c r="AH71" s="154"/>
      <c r="AI71" s="154"/>
      <c r="AJ71" s="154">
        <f t="shared" si="54"/>
        <v>0</v>
      </c>
      <c r="AK71" s="154"/>
      <c r="AL71" s="154"/>
      <c r="AM71" s="153">
        <f t="shared" si="55"/>
        <v>0</v>
      </c>
      <c r="AN71" s="154"/>
      <c r="AO71" s="153">
        <f t="shared" si="90"/>
        <v>0</v>
      </c>
      <c r="AP71" s="153">
        <f t="shared" si="90"/>
        <v>0</v>
      </c>
      <c r="AQ71" s="153"/>
      <c r="AR71" s="156" t="str">
        <f t="shared" si="49"/>
        <v/>
      </c>
      <c r="AS71" s="157"/>
      <c r="AT71" s="157"/>
      <c r="AU71" s="157"/>
      <c r="AV71" s="153">
        <f>AV70</f>
        <v>0</v>
      </c>
      <c r="AW71" s="153">
        <f t="shared" si="91"/>
        <v>0</v>
      </c>
      <c r="AX71" s="153"/>
      <c r="AY71" s="153"/>
      <c r="AZ71" s="153"/>
      <c r="BA71" s="153"/>
      <c r="BB71" s="153"/>
      <c r="BC71" s="153"/>
      <c r="BD71" s="153"/>
      <c r="BE71" s="153"/>
      <c r="BF71" s="153"/>
      <c r="BG71" s="153"/>
      <c r="BH71" s="153"/>
      <c r="BI71" s="153"/>
      <c r="BJ71" s="153"/>
      <c r="BK71" s="153"/>
      <c r="BL71" s="153"/>
      <c r="BM71" s="499"/>
      <c r="BN71" s="142"/>
      <c r="BO71" s="142"/>
      <c r="BP71" s="142"/>
      <c r="BQ71" s="142"/>
      <c r="BR71" s="142"/>
      <c r="BS71" s="142"/>
      <c r="BT71" s="142"/>
      <c r="BW71" s="159"/>
      <c r="BX71" s="160"/>
    </row>
    <row r="72" spans="1:76" s="158" customFormat="1" ht="12" hidden="1" outlineLevel="1" x14ac:dyDescent="0.25">
      <c r="A72" s="416"/>
      <c r="B72" s="375"/>
      <c r="C72" s="139" t="s">
        <v>69</v>
      </c>
      <c r="D72" s="139" t="s">
        <v>70</v>
      </c>
      <c r="E72" s="140"/>
      <c r="F72" s="141"/>
      <c r="G72" s="485"/>
      <c r="H72" s="488"/>
      <c r="I72" s="141"/>
      <c r="J72" s="141"/>
      <c r="K72" s="468"/>
      <c r="L72" s="491" t="s">
        <v>88</v>
      </c>
      <c r="M72" s="494"/>
      <c r="N72" s="143">
        <f>O72/1.12</f>
        <v>0</v>
      </c>
      <c r="O72" s="143"/>
      <c r="P72" s="143">
        <f t="shared" si="52"/>
        <v>0</v>
      </c>
      <c r="Q72" s="143">
        <f t="shared" si="52"/>
        <v>0</v>
      </c>
      <c r="R72" s="457"/>
      <c r="S72" s="488"/>
      <c r="T72" s="144"/>
      <c r="U72" s="144"/>
      <c r="V72" s="144"/>
      <c r="W72" s="144"/>
      <c r="X72" s="144"/>
      <c r="Y72" s="144"/>
      <c r="Z72" s="141"/>
      <c r="AA72" s="141"/>
      <c r="AB72" s="141"/>
      <c r="AC72" s="141"/>
      <c r="AD72" s="141"/>
      <c r="AE72" s="141"/>
      <c r="AF72" s="141">
        <f t="shared" si="57"/>
        <v>0</v>
      </c>
      <c r="AG72" s="141">
        <f t="shared" si="53"/>
        <v>0</v>
      </c>
      <c r="AH72" s="141"/>
      <c r="AI72" s="141"/>
      <c r="AJ72" s="141">
        <f t="shared" si="54"/>
        <v>0</v>
      </c>
      <c r="AK72" s="141"/>
      <c r="AL72" s="145"/>
      <c r="AM72" s="140">
        <f t="shared" si="55"/>
        <v>0</v>
      </c>
      <c r="AN72" s="145"/>
      <c r="AO72" s="140">
        <f>AL72-AI72</f>
        <v>0</v>
      </c>
      <c r="AP72" s="140">
        <f>AM72-AJ72</f>
        <v>0</v>
      </c>
      <c r="AQ72" s="140"/>
      <c r="AR72" s="146" t="str">
        <f t="shared" si="49"/>
        <v/>
      </c>
      <c r="AS72" s="147"/>
      <c r="AT72" s="147"/>
      <c r="AU72" s="147"/>
      <c r="AV72" s="140"/>
      <c r="AW72" s="140">
        <f>AV72</f>
        <v>0</v>
      </c>
      <c r="AX72" s="140"/>
      <c r="AY72" s="140"/>
      <c r="AZ72" s="140"/>
      <c r="BA72" s="140"/>
      <c r="BB72" s="140"/>
      <c r="BC72" s="140"/>
      <c r="BD72" s="140"/>
      <c r="BE72" s="140"/>
      <c r="BF72" s="140"/>
      <c r="BG72" s="140"/>
      <c r="BH72" s="140"/>
      <c r="BI72" s="140"/>
      <c r="BJ72" s="140"/>
      <c r="BK72" s="140"/>
      <c r="BL72" s="140"/>
      <c r="BM72" s="497"/>
      <c r="BN72" s="148"/>
      <c r="BO72" s="148"/>
      <c r="BP72" s="148"/>
      <c r="BQ72" s="148"/>
      <c r="BR72" s="148"/>
      <c r="BS72" s="148"/>
      <c r="BT72" s="148"/>
      <c r="BW72" s="159"/>
      <c r="BX72" s="160"/>
    </row>
    <row r="73" spans="1:76" s="158" customFormat="1" ht="12" hidden="1" outlineLevel="1" x14ac:dyDescent="0.25">
      <c r="A73" s="416"/>
      <c r="B73" s="375"/>
      <c r="C73" s="139" t="s">
        <v>71</v>
      </c>
      <c r="D73" s="139" t="s">
        <v>72</v>
      </c>
      <c r="E73" s="140"/>
      <c r="F73" s="141"/>
      <c r="G73" s="486"/>
      <c r="H73" s="489"/>
      <c r="I73" s="141"/>
      <c r="J73" s="141"/>
      <c r="K73" s="468"/>
      <c r="L73" s="492"/>
      <c r="M73" s="495"/>
      <c r="N73" s="143">
        <f>N72</f>
        <v>0</v>
      </c>
      <c r="O73" s="143">
        <f>O72</f>
        <v>0</v>
      </c>
      <c r="P73" s="143">
        <f t="shared" si="52"/>
        <v>0</v>
      </c>
      <c r="Q73" s="143">
        <f t="shared" si="52"/>
        <v>0</v>
      </c>
      <c r="R73" s="457"/>
      <c r="S73" s="489"/>
      <c r="T73" s="144"/>
      <c r="U73" s="144"/>
      <c r="V73" s="144"/>
      <c r="W73" s="144"/>
      <c r="X73" s="144"/>
      <c r="Y73" s="144"/>
      <c r="Z73" s="141"/>
      <c r="AA73" s="141"/>
      <c r="AB73" s="141"/>
      <c r="AC73" s="141"/>
      <c r="AD73" s="141"/>
      <c r="AE73" s="141"/>
      <c r="AF73" s="141">
        <f t="shared" si="57"/>
        <v>0</v>
      </c>
      <c r="AG73" s="141">
        <f t="shared" si="53"/>
        <v>0</v>
      </c>
      <c r="AH73" s="141"/>
      <c r="AI73" s="141"/>
      <c r="AJ73" s="141">
        <f t="shared" si="54"/>
        <v>0</v>
      </c>
      <c r="AK73" s="141"/>
      <c r="AL73" s="141"/>
      <c r="AM73" s="140">
        <f t="shared" si="55"/>
        <v>0</v>
      </c>
      <c r="AN73" s="141"/>
      <c r="AO73" s="140">
        <f t="shared" ref="AO73:AP74" si="92">AL73-AI73</f>
        <v>0</v>
      </c>
      <c r="AP73" s="140">
        <f t="shared" si="92"/>
        <v>0</v>
      </c>
      <c r="AQ73" s="140"/>
      <c r="AR73" s="146" t="str">
        <f t="shared" si="49"/>
        <v/>
      </c>
      <c r="AS73" s="147"/>
      <c r="AT73" s="147"/>
      <c r="AU73" s="147"/>
      <c r="AV73" s="140">
        <f>AV72</f>
        <v>0</v>
      </c>
      <c r="AW73" s="140">
        <f t="shared" ref="AW73:AW74" si="93">AV73*1.12</f>
        <v>0</v>
      </c>
      <c r="AX73" s="140"/>
      <c r="AY73" s="140"/>
      <c r="AZ73" s="140"/>
      <c r="BA73" s="140"/>
      <c r="BB73" s="140"/>
      <c r="BC73" s="140"/>
      <c r="BD73" s="140"/>
      <c r="BE73" s="140"/>
      <c r="BF73" s="140"/>
      <c r="BG73" s="140"/>
      <c r="BH73" s="140"/>
      <c r="BI73" s="140"/>
      <c r="BJ73" s="140"/>
      <c r="BK73" s="140"/>
      <c r="BL73" s="140"/>
      <c r="BM73" s="498"/>
      <c r="BN73" s="148"/>
      <c r="BO73" s="148"/>
      <c r="BP73" s="148"/>
      <c r="BQ73" s="148"/>
      <c r="BR73" s="148"/>
      <c r="BS73" s="148"/>
      <c r="BT73" s="148"/>
      <c r="BW73" s="159"/>
      <c r="BX73" s="160"/>
    </row>
    <row r="74" spans="1:76" s="158" customFormat="1" ht="12" hidden="1" outlineLevel="1" x14ac:dyDescent="0.25">
      <c r="A74" s="416"/>
      <c r="B74" s="375"/>
      <c r="C74" s="152" t="s">
        <v>71</v>
      </c>
      <c r="D74" s="152" t="s">
        <v>73</v>
      </c>
      <c r="E74" s="153"/>
      <c r="F74" s="154"/>
      <c r="G74" s="487"/>
      <c r="H74" s="490"/>
      <c r="I74" s="154"/>
      <c r="J74" s="154"/>
      <c r="K74" s="468"/>
      <c r="L74" s="493"/>
      <c r="M74" s="496"/>
      <c r="N74" s="155">
        <f>N73</f>
        <v>0</v>
      </c>
      <c r="O74" s="155">
        <f>O73</f>
        <v>0</v>
      </c>
      <c r="P74" s="155">
        <f t="shared" si="52"/>
        <v>0</v>
      </c>
      <c r="Q74" s="155">
        <f t="shared" si="52"/>
        <v>0</v>
      </c>
      <c r="R74" s="457"/>
      <c r="S74" s="490"/>
      <c r="T74" s="144"/>
      <c r="U74" s="144"/>
      <c r="V74" s="144"/>
      <c r="W74" s="144"/>
      <c r="X74" s="144"/>
      <c r="Y74" s="144"/>
      <c r="Z74" s="154"/>
      <c r="AA74" s="154"/>
      <c r="AB74" s="154"/>
      <c r="AC74" s="154"/>
      <c r="AD74" s="154"/>
      <c r="AE74" s="154"/>
      <c r="AF74" s="154">
        <f t="shared" si="57"/>
        <v>0</v>
      </c>
      <c r="AG74" s="154">
        <f t="shared" si="53"/>
        <v>0</v>
      </c>
      <c r="AH74" s="154"/>
      <c r="AI74" s="154"/>
      <c r="AJ74" s="154">
        <f t="shared" si="54"/>
        <v>0</v>
      </c>
      <c r="AK74" s="154"/>
      <c r="AL74" s="154"/>
      <c r="AM74" s="153">
        <f t="shared" si="55"/>
        <v>0</v>
      </c>
      <c r="AN74" s="154"/>
      <c r="AO74" s="153">
        <f t="shared" si="92"/>
        <v>0</v>
      </c>
      <c r="AP74" s="153">
        <f t="shared" si="92"/>
        <v>0</v>
      </c>
      <c r="AQ74" s="153"/>
      <c r="AR74" s="156" t="str">
        <f t="shared" si="49"/>
        <v/>
      </c>
      <c r="AS74" s="157"/>
      <c r="AT74" s="157"/>
      <c r="AU74" s="157"/>
      <c r="AV74" s="153">
        <f>AV73</f>
        <v>0</v>
      </c>
      <c r="AW74" s="153">
        <f t="shared" si="93"/>
        <v>0</v>
      </c>
      <c r="AX74" s="153"/>
      <c r="AY74" s="153"/>
      <c r="AZ74" s="153"/>
      <c r="BA74" s="153"/>
      <c r="BB74" s="153"/>
      <c r="BC74" s="153"/>
      <c r="BD74" s="153"/>
      <c r="BE74" s="153"/>
      <c r="BF74" s="153"/>
      <c r="BG74" s="153"/>
      <c r="BH74" s="153"/>
      <c r="BI74" s="153"/>
      <c r="BJ74" s="153"/>
      <c r="BK74" s="153"/>
      <c r="BL74" s="153"/>
      <c r="BM74" s="499"/>
      <c r="BN74" s="142"/>
      <c r="BO74" s="142"/>
      <c r="BP74" s="142"/>
      <c r="BQ74" s="142"/>
      <c r="BR74" s="142"/>
      <c r="BS74" s="142"/>
      <c r="BT74" s="142"/>
      <c r="BW74" s="159"/>
      <c r="BX74" s="160"/>
    </row>
    <row r="75" spans="1:76" s="158" customFormat="1" ht="12" hidden="1" outlineLevel="1" x14ac:dyDescent="0.25">
      <c r="A75" s="416"/>
      <c r="B75" s="375"/>
      <c r="C75" s="139" t="s">
        <v>69</v>
      </c>
      <c r="D75" s="139" t="s">
        <v>70</v>
      </c>
      <c r="E75" s="140"/>
      <c r="F75" s="141"/>
      <c r="G75" s="485"/>
      <c r="H75" s="488"/>
      <c r="I75" s="141"/>
      <c r="J75" s="141"/>
      <c r="K75" s="468"/>
      <c r="L75" s="491" t="s">
        <v>89</v>
      </c>
      <c r="M75" s="494"/>
      <c r="N75" s="143">
        <f>O75/1.12</f>
        <v>0</v>
      </c>
      <c r="O75" s="143"/>
      <c r="P75" s="143">
        <f t="shared" si="52"/>
        <v>0</v>
      </c>
      <c r="Q75" s="143">
        <f t="shared" si="52"/>
        <v>0</v>
      </c>
      <c r="R75" s="457"/>
      <c r="S75" s="488"/>
      <c r="T75" s="144"/>
      <c r="U75" s="144"/>
      <c r="V75" s="144"/>
      <c r="W75" s="144"/>
      <c r="X75" s="144"/>
      <c r="Y75" s="144"/>
      <c r="Z75" s="141"/>
      <c r="AA75" s="141"/>
      <c r="AB75" s="141"/>
      <c r="AC75" s="141"/>
      <c r="AD75" s="141"/>
      <c r="AE75" s="141"/>
      <c r="AF75" s="141">
        <f t="shared" si="57"/>
        <v>0</v>
      </c>
      <c r="AG75" s="141">
        <f t="shared" si="53"/>
        <v>0</v>
      </c>
      <c r="AH75" s="141"/>
      <c r="AI75" s="141"/>
      <c r="AJ75" s="141">
        <f t="shared" si="54"/>
        <v>0</v>
      </c>
      <c r="AK75" s="141"/>
      <c r="AL75" s="145"/>
      <c r="AM75" s="140">
        <f t="shared" si="55"/>
        <v>0</v>
      </c>
      <c r="AN75" s="145"/>
      <c r="AO75" s="140">
        <f>AL75-AI75</f>
        <v>0</v>
      </c>
      <c r="AP75" s="140">
        <f>AM75-AJ75</f>
        <v>0</v>
      </c>
      <c r="AQ75" s="140"/>
      <c r="AR75" s="146" t="str">
        <f t="shared" si="49"/>
        <v/>
      </c>
      <c r="AS75" s="147"/>
      <c r="AT75" s="147"/>
      <c r="AU75" s="147"/>
      <c r="AV75" s="140"/>
      <c r="AW75" s="140">
        <f>AV75</f>
        <v>0</v>
      </c>
      <c r="AX75" s="140"/>
      <c r="AY75" s="140"/>
      <c r="AZ75" s="140"/>
      <c r="BA75" s="140"/>
      <c r="BB75" s="140"/>
      <c r="BC75" s="140"/>
      <c r="BD75" s="140"/>
      <c r="BE75" s="140"/>
      <c r="BF75" s="140"/>
      <c r="BG75" s="140"/>
      <c r="BH75" s="140"/>
      <c r="BI75" s="140"/>
      <c r="BJ75" s="140"/>
      <c r="BK75" s="140"/>
      <c r="BL75" s="140"/>
      <c r="BM75" s="497"/>
      <c r="BN75" s="148"/>
      <c r="BO75" s="148"/>
      <c r="BP75" s="148"/>
      <c r="BQ75" s="148"/>
      <c r="BR75" s="148"/>
      <c r="BS75" s="148"/>
      <c r="BT75" s="148"/>
      <c r="BW75" s="159"/>
      <c r="BX75" s="160"/>
    </row>
    <row r="76" spans="1:76" s="158" customFormat="1" ht="12" hidden="1" outlineLevel="1" x14ac:dyDescent="0.25">
      <c r="A76" s="416"/>
      <c r="B76" s="375"/>
      <c r="C76" s="139" t="s">
        <v>71</v>
      </c>
      <c r="D76" s="139" t="s">
        <v>72</v>
      </c>
      <c r="E76" s="140"/>
      <c r="F76" s="141"/>
      <c r="G76" s="486"/>
      <c r="H76" s="489"/>
      <c r="I76" s="141"/>
      <c r="J76" s="141"/>
      <c r="K76" s="468"/>
      <c r="L76" s="492"/>
      <c r="M76" s="495"/>
      <c r="N76" s="143">
        <f>N75</f>
        <v>0</v>
      </c>
      <c r="O76" s="143">
        <f>O75</f>
        <v>0</v>
      </c>
      <c r="P76" s="143">
        <f t="shared" si="52"/>
        <v>0</v>
      </c>
      <c r="Q76" s="143">
        <f t="shared" si="52"/>
        <v>0</v>
      </c>
      <c r="R76" s="457"/>
      <c r="S76" s="489"/>
      <c r="T76" s="144"/>
      <c r="U76" s="144"/>
      <c r="V76" s="144"/>
      <c r="W76" s="144"/>
      <c r="X76" s="144"/>
      <c r="Y76" s="144"/>
      <c r="Z76" s="141"/>
      <c r="AA76" s="141"/>
      <c r="AB76" s="141"/>
      <c r="AC76" s="141"/>
      <c r="AD76" s="141"/>
      <c r="AE76" s="141"/>
      <c r="AF76" s="141">
        <f t="shared" si="57"/>
        <v>0</v>
      </c>
      <c r="AG76" s="141">
        <f t="shared" si="53"/>
        <v>0</v>
      </c>
      <c r="AH76" s="141"/>
      <c r="AI76" s="141"/>
      <c r="AJ76" s="141">
        <f t="shared" si="54"/>
        <v>0</v>
      </c>
      <c r="AK76" s="141"/>
      <c r="AL76" s="141"/>
      <c r="AM76" s="140">
        <f t="shared" si="55"/>
        <v>0</v>
      </c>
      <c r="AN76" s="141"/>
      <c r="AO76" s="140">
        <f t="shared" ref="AO76:AP77" si="94">AL76-AI76</f>
        <v>0</v>
      </c>
      <c r="AP76" s="140">
        <f t="shared" si="94"/>
        <v>0</v>
      </c>
      <c r="AQ76" s="140"/>
      <c r="AR76" s="146" t="str">
        <f t="shared" si="49"/>
        <v/>
      </c>
      <c r="AS76" s="147"/>
      <c r="AT76" s="147"/>
      <c r="AU76" s="147"/>
      <c r="AV76" s="140">
        <f>AV75</f>
        <v>0</v>
      </c>
      <c r="AW76" s="140">
        <f t="shared" ref="AW76:AW77" si="95">AV76*1.12</f>
        <v>0</v>
      </c>
      <c r="AX76" s="140"/>
      <c r="AY76" s="140"/>
      <c r="AZ76" s="140"/>
      <c r="BA76" s="140"/>
      <c r="BB76" s="140"/>
      <c r="BC76" s="140"/>
      <c r="BD76" s="140"/>
      <c r="BE76" s="140"/>
      <c r="BF76" s="140"/>
      <c r="BG76" s="140"/>
      <c r="BH76" s="140"/>
      <c r="BI76" s="140"/>
      <c r="BJ76" s="140"/>
      <c r="BK76" s="140"/>
      <c r="BL76" s="140"/>
      <c r="BM76" s="498"/>
      <c r="BN76" s="148"/>
      <c r="BO76" s="148"/>
      <c r="BP76" s="148"/>
      <c r="BQ76" s="148"/>
      <c r="BR76" s="148"/>
      <c r="BS76" s="148"/>
      <c r="BT76" s="148"/>
      <c r="BW76" s="159"/>
      <c r="BX76" s="160"/>
    </row>
    <row r="77" spans="1:76" s="158" customFormat="1" ht="12" hidden="1" outlineLevel="1" x14ac:dyDescent="0.25">
      <c r="A77" s="416"/>
      <c r="B77" s="375"/>
      <c r="C77" s="152" t="s">
        <v>71</v>
      </c>
      <c r="D77" s="152" t="s">
        <v>73</v>
      </c>
      <c r="E77" s="153"/>
      <c r="F77" s="154"/>
      <c r="G77" s="487"/>
      <c r="H77" s="490"/>
      <c r="I77" s="154"/>
      <c r="J77" s="154"/>
      <c r="K77" s="468"/>
      <c r="L77" s="493"/>
      <c r="M77" s="496"/>
      <c r="N77" s="155">
        <f>N76</f>
        <v>0</v>
      </c>
      <c r="O77" s="155">
        <f>O76</f>
        <v>0</v>
      </c>
      <c r="P77" s="155">
        <f t="shared" si="52"/>
        <v>0</v>
      </c>
      <c r="Q77" s="155">
        <f t="shared" si="52"/>
        <v>0</v>
      </c>
      <c r="R77" s="457"/>
      <c r="S77" s="490"/>
      <c r="T77" s="144"/>
      <c r="U77" s="144"/>
      <c r="V77" s="144"/>
      <c r="W77" s="144"/>
      <c r="X77" s="144"/>
      <c r="Y77" s="144"/>
      <c r="Z77" s="154"/>
      <c r="AA77" s="154"/>
      <c r="AB77" s="154"/>
      <c r="AC77" s="154"/>
      <c r="AD77" s="154"/>
      <c r="AE77" s="154"/>
      <c r="AF77" s="154">
        <f t="shared" si="57"/>
        <v>0</v>
      </c>
      <c r="AG77" s="154">
        <f t="shared" si="53"/>
        <v>0</v>
      </c>
      <c r="AH77" s="154"/>
      <c r="AI77" s="154"/>
      <c r="AJ77" s="154">
        <f t="shared" si="54"/>
        <v>0</v>
      </c>
      <c r="AK77" s="154"/>
      <c r="AL77" s="154"/>
      <c r="AM77" s="153">
        <f t="shared" si="55"/>
        <v>0</v>
      </c>
      <c r="AN77" s="154"/>
      <c r="AO77" s="153">
        <f t="shared" si="94"/>
        <v>0</v>
      </c>
      <c r="AP77" s="153">
        <f t="shared" si="94"/>
        <v>0</v>
      </c>
      <c r="AQ77" s="153"/>
      <c r="AR77" s="156" t="str">
        <f t="shared" si="49"/>
        <v/>
      </c>
      <c r="AS77" s="157"/>
      <c r="AT77" s="157"/>
      <c r="AU77" s="157"/>
      <c r="AV77" s="153">
        <f>AV76</f>
        <v>0</v>
      </c>
      <c r="AW77" s="153">
        <f t="shared" si="95"/>
        <v>0</v>
      </c>
      <c r="AX77" s="153"/>
      <c r="AY77" s="153"/>
      <c r="AZ77" s="153"/>
      <c r="BA77" s="153"/>
      <c r="BB77" s="153"/>
      <c r="BC77" s="153"/>
      <c r="BD77" s="153"/>
      <c r="BE77" s="153"/>
      <c r="BF77" s="153"/>
      <c r="BG77" s="153"/>
      <c r="BH77" s="153"/>
      <c r="BI77" s="153"/>
      <c r="BJ77" s="153"/>
      <c r="BK77" s="153"/>
      <c r="BL77" s="153"/>
      <c r="BM77" s="499"/>
      <c r="BN77" s="142"/>
      <c r="BO77" s="142"/>
      <c r="BP77" s="142"/>
      <c r="BQ77" s="142"/>
      <c r="BR77" s="142"/>
      <c r="BS77" s="142"/>
      <c r="BT77" s="142"/>
      <c r="BW77" s="159"/>
      <c r="BX77" s="160"/>
    </row>
    <row r="78" spans="1:76" s="158" customFormat="1" ht="12" hidden="1" outlineLevel="1" x14ac:dyDescent="0.25">
      <c r="A78" s="416"/>
      <c r="B78" s="375"/>
      <c r="C78" s="139" t="s">
        <v>69</v>
      </c>
      <c r="D78" s="139" t="s">
        <v>70</v>
      </c>
      <c r="E78" s="140"/>
      <c r="F78" s="141"/>
      <c r="G78" s="485"/>
      <c r="H78" s="488"/>
      <c r="I78" s="141"/>
      <c r="J78" s="141"/>
      <c r="K78" s="468"/>
      <c r="L78" s="491" t="s">
        <v>90</v>
      </c>
      <c r="M78" s="494"/>
      <c r="N78" s="143">
        <f>O78/1.12</f>
        <v>0</v>
      </c>
      <c r="O78" s="143"/>
      <c r="P78" s="143">
        <f t="shared" si="52"/>
        <v>0</v>
      </c>
      <c r="Q78" s="143">
        <f t="shared" si="52"/>
        <v>0</v>
      </c>
      <c r="R78" s="457"/>
      <c r="S78" s="488"/>
      <c r="T78" s="144"/>
      <c r="U78" s="144"/>
      <c r="V78" s="144"/>
      <c r="W78" s="144"/>
      <c r="X78" s="144"/>
      <c r="Y78" s="144"/>
      <c r="Z78" s="141"/>
      <c r="AA78" s="141"/>
      <c r="AB78" s="141"/>
      <c r="AC78" s="141"/>
      <c r="AD78" s="141"/>
      <c r="AE78" s="141"/>
      <c r="AF78" s="141">
        <f t="shared" si="57"/>
        <v>0</v>
      </c>
      <c r="AG78" s="141">
        <f t="shared" si="53"/>
        <v>0</v>
      </c>
      <c r="AH78" s="141"/>
      <c r="AI78" s="141"/>
      <c r="AJ78" s="141">
        <f t="shared" si="54"/>
        <v>0</v>
      </c>
      <c r="AK78" s="141"/>
      <c r="AL78" s="145"/>
      <c r="AM78" s="140">
        <f t="shared" si="55"/>
        <v>0</v>
      </c>
      <c r="AN78" s="145"/>
      <c r="AO78" s="140">
        <f>AL78-AI78</f>
        <v>0</v>
      </c>
      <c r="AP78" s="140">
        <f>AM78-AJ78</f>
        <v>0</v>
      </c>
      <c r="AQ78" s="140"/>
      <c r="AR78" s="146" t="str">
        <f t="shared" si="49"/>
        <v/>
      </c>
      <c r="AS78" s="147"/>
      <c r="AT78" s="147"/>
      <c r="AU78" s="147"/>
      <c r="AV78" s="140"/>
      <c r="AW78" s="140">
        <f>AV78</f>
        <v>0</v>
      </c>
      <c r="AX78" s="140"/>
      <c r="AY78" s="140"/>
      <c r="AZ78" s="140"/>
      <c r="BA78" s="140"/>
      <c r="BB78" s="140"/>
      <c r="BC78" s="140"/>
      <c r="BD78" s="140"/>
      <c r="BE78" s="140"/>
      <c r="BF78" s="140"/>
      <c r="BG78" s="140"/>
      <c r="BH78" s="140"/>
      <c r="BI78" s="140"/>
      <c r="BJ78" s="140"/>
      <c r="BK78" s="140"/>
      <c r="BL78" s="140"/>
      <c r="BM78" s="497"/>
      <c r="BN78" s="148"/>
      <c r="BO78" s="148"/>
      <c r="BP78" s="148"/>
      <c r="BQ78" s="148"/>
      <c r="BR78" s="148"/>
      <c r="BS78" s="148"/>
      <c r="BT78" s="148"/>
      <c r="BW78" s="159"/>
      <c r="BX78" s="160"/>
    </row>
    <row r="79" spans="1:76" s="158" customFormat="1" ht="12" hidden="1" outlineLevel="1" x14ac:dyDescent="0.25">
      <c r="A79" s="416"/>
      <c r="B79" s="375"/>
      <c r="C79" s="139" t="s">
        <v>71</v>
      </c>
      <c r="D79" s="139" t="s">
        <v>72</v>
      </c>
      <c r="E79" s="140"/>
      <c r="F79" s="141"/>
      <c r="G79" s="486"/>
      <c r="H79" s="489"/>
      <c r="I79" s="141"/>
      <c r="J79" s="141"/>
      <c r="K79" s="468"/>
      <c r="L79" s="492"/>
      <c r="M79" s="495"/>
      <c r="N79" s="143">
        <f>N78</f>
        <v>0</v>
      </c>
      <c r="O79" s="143">
        <f>O78</f>
        <v>0</v>
      </c>
      <c r="P79" s="143">
        <f t="shared" si="52"/>
        <v>0</v>
      </c>
      <c r="Q79" s="143">
        <f t="shared" si="52"/>
        <v>0</v>
      </c>
      <c r="R79" s="457"/>
      <c r="S79" s="489"/>
      <c r="T79" s="144"/>
      <c r="U79" s="144"/>
      <c r="V79" s="144"/>
      <c r="W79" s="144"/>
      <c r="X79" s="144"/>
      <c r="Y79" s="144"/>
      <c r="Z79" s="141"/>
      <c r="AA79" s="141"/>
      <c r="AB79" s="141"/>
      <c r="AC79" s="141"/>
      <c r="AD79" s="141"/>
      <c r="AE79" s="141"/>
      <c r="AF79" s="141">
        <f t="shared" si="57"/>
        <v>0</v>
      </c>
      <c r="AG79" s="141">
        <f t="shared" si="53"/>
        <v>0</v>
      </c>
      <c r="AH79" s="141"/>
      <c r="AI79" s="141"/>
      <c r="AJ79" s="141">
        <f t="shared" si="54"/>
        <v>0</v>
      </c>
      <c r="AK79" s="141"/>
      <c r="AL79" s="141"/>
      <c r="AM79" s="140">
        <f t="shared" si="55"/>
        <v>0</v>
      </c>
      <c r="AN79" s="141"/>
      <c r="AO79" s="140">
        <f t="shared" ref="AO79:AP80" si="96">AL79-AI79</f>
        <v>0</v>
      </c>
      <c r="AP79" s="140">
        <f t="shared" si="96"/>
        <v>0</v>
      </c>
      <c r="AQ79" s="140"/>
      <c r="AR79" s="146" t="str">
        <f t="shared" si="49"/>
        <v/>
      </c>
      <c r="AS79" s="147"/>
      <c r="AT79" s="147"/>
      <c r="AU79" s="147"/>
      <c r="AV79" s="140">
        <f>AV78</f>
        <v>0</v>
      </c>
      <c r="AW79" s="140">
        <f t="shared" ref="AW79:AW80" si="97">AV79*1.12</f>
        <v>0</v>
      </c>
      <c r="AX79" s="140"/>
      <c r="AY79" s="140"/>
      <c r="AZ79" s="140"/>
      <c r="BA79" s="140"/>
      <c r="BB79" s="140"/>
      <c r="BC79" s="140"/>
      <c r="BD79" s="140"/>
      <c r="BE79" s="140"/>
      <c r="BF79" s="140"/>
      <c r="BG79" s="140"/>
      <c r="BH79" s="140"/>
      <c r="BI79" s="140"/>
      <c r="BJ79" s="140"/>
      <c r="BK79" s="140"/>
      <c r="BL79" s="140"/>
      <c r="BM79" s="498"/>
      <c r="BN79" s="148"/>
      <c r="BO79" s="148"/>
      <c r="BP79" s="148"/>
      <c r="BQ79" s="148"/>
      <c r="BR79" s="148"/>
      <c r="BS79" s="148"/>
      <c r="BT79" s="148"/>
      <c r="BW79" s="159"/>
      <c r="BX79" s="160"/>
    </row>
    <row r="80" spans="1:76" s="158" customFormat="1" ht="12" hidden="1" outlineLevel="1" x14ac:dyDescent="0.25">
      <c r="A80" s="416"/>
      <c r="B80" s="375"/>
      <c r="C80" s="152" t="s">
        <v>71</v>
      </c>
      <c r="D80" s="152" t="s">
        <v>73</v>
      </c>
      <c r="E80" s="153"/>
      <c r="F80" s="154"/>
      <c r="G80" s="487"/>
      <c r="H80" s="490"/>
      <c r="I80" s="154"/>
      <c r="J80" s="154"/>
      <c r="K80" s="468"/>
      <c r="L80" s="493"/>
      <c r="M80" s="496"/>
      <c r="N80" s="155">
        <f>N79</f>
        <v>0</v>
      </c>
      <c r="O80" s="155">
        <f>O79</f>
        <v>0</v>
      </c>
      <c r="P80" s="155">
        <f t="shared" si="52"/>
        <v>0</v>
      </c>
      <c r="Q80" s="155">
        <f t="shared" si="52"/>
        <v>0</v>
      </c>
      <c r="R80" s="457"/>
      <c r="S80" s="490"/>
      <c r="T80" s="144"/>
      <c r="U80" s="144"/>
      <c r="V80" s="144"/>
      <c r="W80" s="144"/>
      <c r="X80" s="144"/>
      <c r="Y80" s="144"/>
      <c r="Z80" s="154"/>
      <c r="AA80" s="154"/>
      <c r="AB80" s="154"/>
      <c r="AC80" s="154"/>
      <c r="AD80" s="154"/>
      <c r="AE80" s="154"/>
      <c r="AF80" s="154">
        <f t="shared" si="57"/>
        <v>0</v>
      </c>
      <c r="AG80" s="154">
        <f t="shared" si="53"/>
        <v>0</v>
      </c>
      <c r="AH80" s="154"/>
      <c r="AI80" s="154"/>
      <c r="AJ80" s="154">
        <f t="shared" si="54"/>
        <v>0</v>
      </c>
      <c r="AK80" s="154"/>
      <c r="AL80" s="154"/>
      <c r="AM80" s="153">
        <f t="shared" si="55"/>
        <v>0</v>
      </c>
      <c r="AN80" s="154"/>
      <c r="AO80" s="153">
        <f t="shared" si="96"/>
        <v>0</v>
      </c>
      <c r="AP80" s="153">
        <f t="shared" si="96"/>
        <v>0</v>
      </c>
      <c r="AQ80" s="153"/>
      <c r="AR80" s="156" t="str">
        <f t="shared" si="49"/>
        <v/>
      </c>
      <c r="AS80" s="157"/>
      <c r="AT80" s="157"/>
      <c r="AU80" s="157"/>
      <c r="AV80" s="153">
        <f>AV79</f>
        <v>0</v>
      </c>
      <c r="AW80" s="153">
        <f t="shared" si="97"/>
        <v>0</v>
      </c>
      <c r="AX80" s="153"/>
      <c r="AY80" s="153"/>
      <c r="AZ80" s="153"/>
      <c r="BA80" s="153"/>
      <c r="BB80" s="153"/>
      <c r="BC80" s="153"/>
      <c r="BD80" s="153"/>
      <c r="BE80" s="153"/>
      <c r="BF80" s="153"/>
      <c r="BG80" s="153"/>
      <c r="BH80" s="153"/>
      <c r="BI80" s="153"/>
      <c r="BJ80" s="153"/>
      <c r="BK80" s="153"/>
      <c r="BL80" s="153"/>
      <c r="BM80" s="499"/>
      <c r="BN80" s="142"/>
      <c r="BO80" s="142"/>
      <c r="BP80" s="142"/>
      <c r="BQ80" s="142"/>
      <c r="BR80" s="142"/>
      <c r="BS80" s="142"/>
      <c r="BT80" s="142"/>
      <c r="BW80" s="159"/>
      <c r="BX80" s="160"/>
    </row>
    <row r="81" spans="1:76" s="158" customFormat="1" ht="12" hidden="1" outlineLevel="1" x14ac:dyDescent="0.25">
      <c r="A81" s="416"/>
      <c r="B81" s="375"/>
      <c r="C81" s="139" t="s">
        <v>69</v>
      </c>
      <c r="D81" s="139" t="s">
        <v>70</v>
      </c>
      <c r="E81" s="140"/>
      <c r="F81" s="141"/>
      <c r="G81" s="485"/>
      <c r="H81" s="488"/>
      <c r="I81" s="141"/>
      <c r="J81" s="141"/>
      <c r="K81" s="468"/>
      <c r="L81" s="491" t="s">
        <v>91</v>
      </c>
      <c r="M81" s="494"/>
      <c r="N81" s="143">
        <f>O81/1.12</f>
        <v>0</v>
      </c>
      <c r="O81" s="143"/>
      <c r="P81" s="143">
        <f t="shared" si="52"/>
        <v>0</v>
      </c>
      <c r="Q81" s="143">
        <f t="shared" si="52"/>
        <v>0</v>
      </c>
      <c r="R81" s="457"/>
      <c r="S81" s="488"/>
      <c r="T81" s="144"/>
      <c r="U81" s="144"/>
      <c r="V81" s="144"/>
      <c r="W81" s="144"/>
      <c r="X81" s="144"/>
      <c r="Y81" s="144"/>
      <c r="Z81" s="141"/>
      <c r="AA81" s="141"/>
      <c r="AB81" s="141"/>
      <c r="AC81" s="141"/>
      <c r="AD81" s="141"/>
      <c r="AE81" s="141"/>
      <c r="AF81" s="141">
        <f t="shared" si="57"/>
        <v>0</v>
      </c>
      <c r="AG81" s="141">
        <f t="shared" si="53"/>
        <v>0</v>
      </c>
      <c r="AH81" s="141"/>
      <c r="AI81" s="141"/>
      <c r="AJ81" s="141">
        <f t="shared" si="54"/>
        <v>0</v>
      </c>
      <c r="AK81" s="141"/>
      <c r="AL81" s="145"/>
      <c r="AM81" s="140">
        <f t="shared" si="55"/>
        <v>0</v>
      </c>
      <c r="AN81" s="145"/>
      <c r="AO81" s="140">
        <f>AL81-AI81</f>
        <v>0</v>
      </c>
      <c r="AP81" s="140">
        <f>AM81-AJ81</f>
        <v>0</v>
      </c>
      <c r="AQ81" s="140"/>
      <c r="AR81" s="146" t="str">
        <f t="shared" si="49"/>
        <v/>
      </c>
      <c r="AS81" s="147"/>
      <c r="AT81" s="147"/>
      <c r="AU81" s="147"/>
      <c r="AV81" s="140"/>
      <c r="AW81" s="140">
        <f>AV81</f>
        <v>0</v>
      </c>
      <c r="AX81" s="140"/>
      <c r="AY81" s="140"/>
      <c r="AZ81" s="140"/>
      <c r="BA81" s="140"/>
      <c r="BB81" s="140"/>
      <c r="BC81" s="140"/>
      <c r="BD81" s="140"/>
      <c r="BE81" s="140"/>
      <c r="BF81" s="140"/>
      <c r="BG81" s="140"/>
      <c r="BH81" s="140"/>
      <c r="BI81" s="140"/>
      <c r="BJ81" s="140"/>
      <c r="BK81" s="140"/>
      <c r="BL81" s="140"/>
      <c r="BM81" s="497"/>
      <c r="BN81" s="148"/>
      <c r="BO81" s="148"/>
      <c r="BP81" s="148"/>
      <c r="BQ81" s="148"/>
      <c r="BR81" s="148"/>
      <c r="BS81" s="148"/>
      <c r="BT81" s="148"/>
      <c r="BW81" s="159"/>
      <c r="BX81" s="160"/>
    </row>
    <row r="82" spans="1:76" s="158" customFormat="1" ht="12" hidden="1" outlineLevel="1" x14ac:dyDescent="0.25">
      <c r="A82" s="416"/>
      <c r="B82" s="375"/>
      <c r="C82" s="139" t="s">
        <v>71</v>
      </c>
      <c r="D82" s="139" t="s">
        <v>72</v>
      </c>
      <c r="E82" s="140"/>
      <c r="F82" s="141"/>
      <c r="G82" s="486"/>
      <c r="H82" s="489"/>
      <c r="I82" s="141"/>
      <c r="J82" s="141"/>
      <c r="K82" s="468"/>
      <c r="L82" s="492"/>
      <c r="M82" s="495"/>
      <c r="N82" s="143">
        <f>N81</f>
        <v>0</v>
      </c>
      <c r="O82" s="143">
        <f>O81</f>
        <v>0</v>
      </c>
      <c r="P82" s="143">
        <f t="shared" si="52"/>
        <v>0</v>
      </c>
      <c r="Q82" s="143">
        <f t="shared" si="52"/>
        <v>0</v>
      </c>
      <c r="R82" s="457"/>
      <c r="S82" s="489"/>
      <c r="T82" s="144"/>
      <c r="U82" s="144"/>
      <c r="V82" s="144"/>
      <c r="W82" s="144"/>
      <c r="X82" s="144"/>
      <c r="Y82" s="144"/>
      <c r="Z82" s="141"/>
      <c r="AA82" s="141"/>
      <c r="AB82" s="141"/>
      <c r="AC82" s="141"/>
      <c r="AD82" s="141"/>
      <c r="AE82" s="141"/>
      <c r="AF82" s="141">
        <f t="shared" si="57"/>
        <v>0</v>
      </c>
      <c r="AG82" s="141">
        <f t="shared" si="53"/>
        <v>0</v>
      </c>
      <c r="AH82" s="141"/>
      <c r="AI82" s="141"/>
      <c r="AJ82" s="141">
        <f t="shared" si="54"/>
        <v>0</v>
      </c>
      <c r="AK82" s="141"/>
      <c r="AL82" s="141"/>
      <c r="AM82" s="140">
        <f t="shared" si="55"/>
        <v>0</v>
      </c>
      <c r="AN82" s="141"/>
      <c r="AO82" s="140">
        <f t="shared" ref="AO82:AP97" si="98">AL82-AI82</f>
        <v>0</v>
      </c>
      <c r="AP82" s="140">
        <f t="shared" si="98"/>
        <v>0</v>
      </c>
      <c r="AQ82" s="140"/>
      <c r="AR82" s="146" t="str">
        <f t="shared" si="49"/>
        <v/>
      </c>
      <c r="AS82" s="147"/>
      <c r="AT82" s="147"/>
      <c r="AU82" s="147"/>
      <c r="AV82" s="140">
        <f>AV81</f>
        <v>0</v>
      </c>
      <c r="AW82" s="140">
        <f t="shared" ref="AW82:AW83" si="99">AV82*1.12</f>
        <v>0</v>
      </c>
      <c r="AX82" s="140"/>
      <c r="AY82" s="140"/>
      <c r="AZ82" s="140"/>
      <c r="BA82" s="140"/>
      <c r="BB82" s="140"/>
      <c r="BC82" s="140"/>
      <c r="BD82" s="140"/>
      <c r="BE82" s="140"/>
      <c r="BF82" s="140"/>
      <c r="BG82" s="140"/>
      <c r="BH82" s="140"/>
      <c r="BI82" s="140"/>
      <c r="BJ82" s="140"/>
      <c r="BK82" s="140"/>
      <c r="BL82" s="140"/>
      <c r="BM82" s="498"/>
      <c r="BN82" s="148"/>
      <c r="BO82" s="148"/>
      <c r="BP82" s="148"/>
      <c r="BQ82" s="148"/>
      <c r="BR82" s="148"/>
      <c r="BS82" s="148"/>
      <c r="BT82" s="148"/>
      <c r="BW82" s="159"/>
      <c r="BX82" s="160"/>
    </row>
    <row r="83" spans="1:76" s="158" customFormat="1" ht="12" hidden="1" outlineLevel="1" x14ac:dyDescent="0.25">
      <c r="A83" s="356"/>
      <c r="B83" s="354"/>
      <c r="C83" s="152" t="s">
        <v>71</v>
      </c>
      <c r="D83" s="152" t="s">
        <v>73</v>
      </c>
      <c r="E83" s="153"/>
      <c r="F83" s="154"/>
      <c r="G83" s="487"/>
      <c r="H83" s="490"/>
      <c r="I83" s="154"/>
      <c r="J83" s="154"/>
      <c r="K83" s="469"/>
      <c r="L83" s="493"/>
      <c r="M83" s="496"/>
      <c r="N83" s="155">
        <f>N82</f>
        <v>0</v>
      </c>
      <c r="O83" s="155">
        <f>O82</f>
        <v>0</v>
      </c>
      <c r="P83" s="155">
        <f t="shared" si="52"/>
        <v>0</v>
      </c>
      <c r="Q83" s="155">
        <f t="shared" si="52"/>
        <v>0</v>
      </c>
      <c r="R83" s="458"/>
      <c r="S83" s="490"/>
      <c r="T83" s="144"/>
      <c r="U83" s="144"/>
      <c r="V83" s="144"/>
      <c r="W83" s="144"/>
      <c r="X83" s="144"/>
      <c r="Y83" s="144"/>
      <c r="Z83" s="154"/>
      <c r="AA83" s="154"/>
      <c r="AB83" s="154"/>
      <c r="AC83" s="154"/>
      <c r="AD83" s="154"/>
      <c r="AE83" s="154"/>
      <c r="AF83" s="154">
        <f t="shared" si="57"/>
        <v>0</v>
      </c>
      <c r="AG83" s="154">
        <f t="shared" si="53"/>
        <v>0</v>
      </c>
      <c r="AH83" s="154"/>
      <c r="AI83" s="154"/>
      <c r="AJ83" s="154">
        <f t="shared" si="54"/>
        <v>0</v>
      </c>
      <c r="AK83" s="154"/>
      <c r="AL83" s="154"/>
      <c r="AM83" s="153">
        <f t="shared" si="55"/>
        <v>0</v>
      </c>
      <c r="AN83" s="154"/>
      <c r="AO83" s="153">
        <f t="shared" si="98"/>
        <v>0</v>
      </c>
      <c r="AP83" s="153">
        <f t="shared" si="98"/>
        <v>0</v>
      </c>
      <c r="AQ83" s="153"/>
      <c r="AR83" s="156" t="str">
        <f t="shared" si="49"/>
        <v/>
      </c>
      <c r="AS83" s="157"/>
      <c r="AT83" s="157"/>
      <c r="AU83" s="157"/>
      <c r="AV83" s="153">
        <f>AV82</f>
        <v>0</v>
      </c>
      <c r="AW83" s="153">
        <f t="shared" si="99"/>
        <v>0</v>
      </c>
      <c r="AX83" s="153"/>
      <c r="AY83" s="153"/>
      <c r="AZ83" s="153"/>
      <c r="BA83" s="153"/>
      <c r="BB83" s="153"/>
      <c r="BC83" s="153"/>
      <c r="BD83" s="153"/>
      <c r="BE83" s="153"/>
      <c r="BF83" s="153"/>
      <c r="BG83" s="153"/>
      <c r="BH83" s="153"/>
      <c r="BI83" s="153"/>
      <c r="BJ83" s="153"/>
      <c r="BK83" s="153"/>
      <c r="BL83" s="153"/>
      <c r="BM83" s="499"/>
      <c r="BN83" s="142"/>
      <c r="BO83" s="142"/>
      <c r="BP83" s="142"/>
      <c r="BQ83" s="142"/>
      <c r="BR83" s="142"/>
      <c r="BS83" s="142"/>
      <c r="BT83" s="142"/>
      <c r="BW83" s="159"/>
      <c r="BX83" s="160"/>
    </row>
    <row r="84" spans="1:76" s="97" customFormat="1" ht="12.75" hidden="1" customHeight="1" outlineLevel="1" x14ac:dyDescent="0.25">
      <c r="A84" s="355"/>
      <c r="B84" s="353"/>
      <c r="C84" s="117" t="s">
        <v>69</v>
      </c>
      <c r="D84" s="117" t="s">
        <v>70</v>
      </c>
      <c r="E84" s="118">
        <f t="shared" si="56"/>
        <v>0</v>
      </c>
      <c r="F84" s="161">
        <f>J84</f>
        <v>0</v>
      </c>
      <c r="G84" s="402"/>
      <c r="H84" s="404"/>
      <c r="I84" s="161"/>
      <c r="J84" s="161">
        <f t="shared" si="51"/>
        <v>0</v>
      </c>
      <c r="K84" s="467"/>
      <c r="L84" s="353"/>
      <c r="M84" s="453"/>
      <c r="N84" s="162">
        <f>O84/1.12</f>
        <v>0</v>
      </c>
      <c r="O84" s="120"/>
      <c r="P84" s="162">
        <f>N84</f>
        <v>0</v>
      </c>
      <c r="Q84" s="162">
        <f>O84</f>
        <v>0</v>
      </c>
      <c r="R84" s="456"/>
      <c r="S84" s="376"/>
      <c r="T84" s="37"/>
      <c r="U84" s="37"/>
      <c r="V84" s="37"/>
      <c r="W84" s="37"/>
      <c r="X84" s="37"/>
      <c r="Y84" s="37"/>
      <c r="Z84" s="119"/>
      <c r="AA84" s="119"/>
      <c r="AB84" s="119"/>
      <c r="AC84" s="119"/>
      <c r="AD84" s="119"/>
      <c r="AE84" s="119"/>
      <c r="AF84" s="119">
        <f t="shared" si="57"/>
        <v>0</v>
      </c>
      <c r="AG84" s="119">
        <f t="shared" si="53"/>
        <v>0</v>
      </c>
      <c r="AH84" s="119"/>
      <c r="AI84" s="119"/>
      <c r="AJ84" s="161">
        <f>AI84*1.12</f>
        <v>0</v>
      </c>
      <c r="AK84" s="119"/>
      <c r="AL84" s="119"/>
      <c r="AM84" s="161">
        <f>AL84*1.12</f>
        <v>0</v>
      </c>
      <c r="AN84" s="119"/>
      <c r="AO84" s="163">
        <f t="shared" si="98"/>
        <v>0</v>
      </c>
      <c r="AP84" s="163">
        <f t="shared" si="98"/>
        <v>0</v>
      </c>
      <c r="AQ84" s="163"/>
      <c r="AR84" s="164">
        <f>AL84/101</f>
        <v>0</v>
      </c>
      <c r="AS84" s="122"/>
      <c r="AT84" s="122"/>
      <c r="AU84" s="122"/>
      <c r="AV84" s="118">
        <f>AL84</f>
        <v>0</v>
      </c>
      <c r="AW84" s="165">
        <f>AV84</f>
        <v>0</v>
      </c>
      <c r="AX84" s="118"/>
      <c r="AY84" s="118"/>
      <c r="AZ84" s="118"/>
      <c r="BA84" s="118"/>
      <c r="BB84" s="118"/>
      <c r="BC84" s="118"/>
      <c r="BD84" s="118"/>
      <c r="BE84" s="118"/>
      <c r="BF84" s="163"/>
      <c r="BG84" s="118"/>
      <c r="BH84" s="118"/>
      <c r="BI84" s="118"/>
      <c r="BJ84" s="118"/>
      <c r="BK84" s="118"/>
      <c r="BL84" s="118"/>
      <c r="BM84" s="482"/>
      <c r="BN84" s="123"/>
      <c r="BO84" s="123"/>
      <c r="BP84" s="123"/>
      <c r="BQ84" s="123"/>
      <c r="BR84" s="123"/>
      <c r="BS84" s="123"/>
      <c r="BT84" s="123"/>
      <c r="BW84" s="100"/>
      <c r="BX84" s="101"/>
    </row>
    <row r="85" spans="1:76" s="97" customFormat="1" hidden="1" outlineLevel="1" x14ac:dyDescent="0.25">
      <c r="A85" s="416"/>
      <c r="B85" s="375"/>
      <c r="C85" s="117" t="s">
        <v>71</v>
      </c>
      <c r="D85" s="117" t="s">
        <v>72</v>
      </c>
      <c r="E85" s="118">
        <f t="shared" si="56"/>
        <v>0</v>
      </c>
      <c r="F85" s="161">
        <f>J85</f>
        <v>0</v>
      </c>
      <c r="G85" s="403"/>
      <c r="H85" s="405"/>
      <c r="I85" s="161">
        <f>I84</f>
        <v>0</v>
      </c>
      <c r="J85" s="161">
        <f>I85*1.12</f>
        <v>0</v>
      </c>
      <c r="K85" s="468"/>
      <c r="L85" s="375"/>
      <c r="M85" s="454"/>
      <c r="N85" s="120">
        <f>N84</f>
        <v>0</v>
      </c>
      <c r="O85" s="120">
        <f>O84</f>
        <v>0</v>
      </c>
      <c r="P85" s="120">
        <f t="shared" si="52"/>
        <v>0</v>
      </c>
      <c r="Q85" s="120">
        <f t="shared" si="52"/>
        <v>0</v>
      </c>
      <c r="R85" s="457"/>
      <c r="S85" s="377"/>
      <c r="T85" s="37"/>
      <c r="U85" s="37"/>
      <c r="V85" s="37"/>
      <c r="W85" s="37"/>
      <c r="X85" s="37"/>
      <c r="Y85" s="37"/>
      <c r="Z85" s="119"/>
      <c r="AA85" s="119"/>
      <c r="AB85" s="119"/>
      <c r="AC85" s="119"/>
      <c r="AD85" s="119"/>
      <c r="AE85" s="119"/>
      <c r="AF85" s="119">
        <f t="shared" si="57"/>
        <v>0</v>
      </c>
      <c r="AG85" s="119">
        <f t="shared" si="53"/>
        <v>0</v>
      </c>
      <c r="AH85" s="119"/>
      <c r="AI85" s="119">
        <f>AI84</f>
        <v>0</v>
      </c>
      <c r="AJ85" s="161">
        <f>AI85*1.12</f>
        <v>0</v>
      </c>
      <c r="AK85" s="119"/>
      <c r="AL85" s="119">
        <f>AL84</f>
        <v>0</v>
      </c>
      <c r="AM85" s="161">
        <f>AL85*1.12</f>
        <v>0</v>
      </c>
      <c r="AN85" s="119"/>
      <c r="AO85" s="163">
        <f t="shared" si="98"/>
        <v>0</v>
      </c>
      <c r="AP85" s="163">
        <f t="shared" si="98"/>
        <v>0</v>
      </c>
      <c r="AQ85" s="163"/>
      <c r="AR85" s="164">
        <f>AL85/101</f>
        <v>0</v>
      </c>
      <c r="AS85" s="122"/>
      <c r="AT85" s="122">
        <f>AL85</f>
        <v>0</v>
      </c>
      <c r="AU85" s="122"/>
      <c r="AV85" s="118">
        <f>AV84</f>
        <v>0</v>
      </c>
      <c r="AW85" s="165">
        <f>AV85</f>
        <v>0</v>
      </c>
      <c r="AX85" s="118"/>
      <c r="AY85" s="118"/>
      <c r="AZ85" s="118"/>
      <c r="BA85" s="118"/>
      <c r="BB85" s="118"/>
      <c r="BC85" s="118"/>
      <c r="BD85" s="118"/>
      <c r="BE85" s="118"/>
      <c r="BF85" s="163"/>
      <c r="BG85" s="118"/>
      <c r="BH85" s="118"/>
      <c r="BI85" s="118"/>
      <c r="BJ85" s="118"/>
      <c r="BK85" s="118"/>
      <c r="BL85" s="118"/>
      <c r="BM85" s="483"/>
      <c r="BN85" s="123"/>
      <c r="BO85" s="123"/>
      <c r="BP85" s="123"/>
      <c r="BQ85" s="123"/>
      <c r="BR85" s="123"/>
      <c r="BS85" s="123"/>
      <c r="BT85" s="123"/>
      <c r="BW85" s="100"/>
      <c r="BX85" s="101"/>
    </row>
    <row r="86" spans="1:76" hidden="1" outlineLevel="1" x14ac:dyDescent="0.25">
      <c r="A86" s="416"/>
      <c r="B86" s="375"/>
      <c r="C86" s="124" t="s">
        <v>71</v>
      </c>
      <c r="D86" s="124" t="s">
        <v>73</v>
      </c>
      <c r="E86" s="125">
        <f t="shared" si="56"/>
        <v>0</v>
      </c>
      <c r="F86" s="166">
        <f>J86</f>
        <v>0</v>
      </c>
      <c r="G86" s="414"/>
      <c r="H86" s="415"/>
      <c r="I86" s="166">
        <f>I85</f>
        <v>0</v>
      </c>
      <c r="J86" s="166">
        <f>J85</f>
        <v>0</v>
      </c>
      <c r="K86" s="469"/>
      <c r="L86" s="354"/>
      <c r="M86" s="455"/>
      <c r="N86" s="127">
        <f>N85</f>
        <v>0</v>
      </c>
      <c r="O86" s="127">
        <f>O85</f>
        <v>0</v>
      </c>
      <c r="P86" s="127">
        <f t="shared" si="52"/>
        <v>0</v>
      </c>
      <c r="Q86" s="127">
        <f t="shared" si="52"/>
        <v>0</v>
      </c>
      <c r="R86" s="458"/>
      <c r="S86" s="378"/>
      <c r="T86" s="37"/>
      <c r="U86" s="37"/>
      <c r="V86" s="37"/>
      <c r="W86" s="37"/>
      <c r="X86" s="37"/>
      <c r="Y86" s="37"/>
      <c r="Z86" s="126"/>
      <c r="AA86" s="126"/>
      <c r="AB86" s="126"/>
      <c r="AC86" s="126"/>
      <c r="AD86" s="126"/>
      <c r="AE86" s="126"/>
      <c r="AF86" s="126">
        <f t="shared" si="57"/>
        <v>0</v>
      </c>
      <c r="AG86" s="126">
        <f t="shared" si="53"/>
        <v>0</v>
      </c>
      <c r="AH86" s="126"/>
      <c r="AI86" s="126">
        <f>AI85</f>
        <v>0</v>
      </c>
      <c r="AJ86" s="166">
        <f>AJ85</f>
        <v>0</v>
      </c>
      <c r="AK86" s="126"/>
      <c r="AL86" s="126">
        <f>AL85</f>
        <v>0</v>
      </c>
      <c r="AM86" s="166">
        <f>AM85</f>
        <v>0</v>
      </c>
      <c r="AN86" s="126"/>
      <c r="AO86" s="167">
        <f t="shared" si="98"/>
        <v>0</v>
      </c>
      <c r="AP86" s="167">
        <f t="shared" si="98"/>
        <v>0</v>
      </c>
      <c r="AQ86" s="167"/>
      <c r="AR86" s="168">
        <f t="shared" ref="AR86" si="100">AL86/101</f>
        <v>0</v>
      </c>
      <c r="AS86" s="129"/>
      <c r="AT86" s="129">
        <f>AT85</f>
        <v>0</v>
      </c>
      <c r="AU86" s="129"/>
      <c r="AV86" s="125">
        <f>AV85</f>
        <v>0</v>
      </c>
      <c r="AW86" s="169">
        <f>AV86</f>
        <v>0</v>
      </c>
      <c r="AX86" s="125"/>
      <c r="AY86" s="125"/>
      <c r="AZ86" s="125"/>
      <c r="BA86" s="125"/>
      <c r="BB86" s="125"/>
      <c r="BC86" s="125"/>
      <c r="BD86" s="125"/>
      <c r="BE86" s="125"/>
      <c r="BF86" s="167"/>
      <c r="BG86" s="125"/>
      <c r="BH86" s="125"/>
      <c r="BI86" s="125"/>
      <c r="BJ86" s="125"/>
      <c r="BK86" s="125"/>
      <c r="BL86" s="125"/>
      <c r="BM86" s="484"/>
      <c r="BN86" s="130"/>
      <c r="BO86" s="130"/>
      <c r="BP86" s="130"/>
      <c r="BQ86" s="130"/>
      <c r="BR86" s="130"/>
      <c r="BS86" s="130"/>
      <c r="BT86" s="130"/>
      <c r="BW86" s="25"/>
      <c r="BX86" s="26"/>
    </row>
    <row r="87" spans="1:76" ht="12.75" hidden="1" customHeight="1" outlineLevel="1" x14ac:dyDescent="0.25">
      <c r="A87" s="416"/>
      <c r="B87" s="375"/>
      <c r="C87" s="117" t="s">
        <v>69</v>
      </c>
      <c r="D87" s="117" t="s">
        <v>70</v>
      </c>
      <c r="E87" s="125"/>
      <c r="F87" s="126"/>
      <c r="G87" s="132"/>
      <c r="H87" s="125"/>
      <c r="I87" s="126"/>
      <c r="J87" s="126"/>
      <c r="K87" s="467"/>
      <c r="L87" s="353"/>
      <c r="M87" s="453"/>
      <c r="N87" s="120">
        <f>O87/1.12</f>
        <v>0</v>
      </c>
      <c r="O87" s="120"/>
      <c r="P87" s="120">
        <f t="shared" si="52"/>
        <v>0</v>
      </c>
      <c r="Q87" s="120">
        <f t="shared" si="52"/>
        <v>0</v>
      </c>
      <c r="R87" s="456"/>
      <c r="S87" s="376"/>
      <c r="T87" s="37"/>
      <c r="U87" s="37"/>
      <c r="V87" s="37"/>
      <c r="W87" s="37"/>
      <c r="X87" s="37"/>
      <c r="Y87" s="37"/>
      <c r="Z87" s="119"/>
      <c r="AA87" s="119"/>
      <c r="AB87" s="119"/>
      <c r="AC87" s="119"/>
      <c r="AD87" s="119"/>
      <c r="AE87" s="119"/>
      <c r="AF87" s="119">
        <f t="shared" si="57"/>
        <v>0</v>
      </c>
      <c r="AG87" s="119">
        <f t="shared" si="53"/>
        <v>0</v>
      </c>
      <c r="AH87" s="119"/>
      <c r="AI87" s="119"/>
      <c r="AJ87" s="119">
        <f t="shared" si="54"/>
        <v>0</v>
      </c>
      <c r="AK87" s="119"/>
      <c r="AL87" s="87"/>
      <c r="AM87" s="118">
        <f t="shared" ref="AM87:AM98" si="101">AL87*1.12</f>
        <v>0</v>
      </c>
      <c r="AN87" s="119"/>
      <c r="AO87" s="163">
        <f t="shared" si="98"/>
        <v>0</v>
      </c>
      <c r="AP87" s="163">
        <f t="shared" si="98"/>
        <v>0</v>
      </c>
      <c r="AQ87" s="163"/>
      <c r="AR87" s="164">
        <f>AL87/34</f>
        <v>0</v>
      </c>
      <c r="AS87" s="122"/>
      <c r="AT87" s="122"/>
      <c r="AU87" s="122"/>
      <c r="AV87" s="118">
        <f>AL87</f>
        <v>0</v>
      </c>
      <c r="AW87" s="118">
        <f>AV87*1.12</f>
        <v>0</v>
      </c>
      <c r="AX87" s="118"/>
      <c r="AY87" s="118"/>
      <c r="AZ87" s="118"/>
      <c r="BA87" s="118"/>
      <c r="BB87" s="118"/>
      <c r="BC87" s="118"/>
      <c r="BD87" s="118"/>
      <c r="BE87" s="118"/>
      <c r="BF87" s="163"/>
      <c r="BG87" s="118"/>
      <c r="BH87" s="118"/>
      <c r="BI87" s="118"/>
      <c r="BJ87" s="118"/>
      <c r="BK87" s="118"/>
      <c r="BL87" s="118"/>
      <c r="BM87" s="482"/>
      <c r="BN87" s="130"/>
      <c r="BO87" s="130"/>
      <c r="BP87" s="130"/>
      <c r="BQ87" s="130"/>
      <c r="BR87" s="130"/>
      <c r="BS87" s="130"/>
      <c r="BT87" s="130"/>
      <c r="BW87" s="25"/>
      <c r="BX87" s="26"/>
    </row>
    <row r="88" spans="1:76" hidden="1" outlineLevel="1" x14ac:dyDescent="0.25">
      <c r="A88" s="416"/>
      <c r="B88" s="375"/>
      <c r="C88" s="117" t="s">
        <v>71</v>
      </c>
      <c r="D88" s="117" t="s">
        <v>72</v>
      </c>
      <c r="E88" s="125"/>
      <c r="F88" s="126"/>
      <c r="G88" s="132"/>
      <c r="H88" s="125"/>
      <c r="I88" s="126"/>
      <c r="J88" s="126"/>
      <c r="K88" s="468"/>
      <c r="L88" s="375"/>
      <c r="M88" s="454"/>
      <c r="N88" s="120">
        <f>N87</f>
        <v>0</v>
      </c>
      <c r="O88" s="120">
        <f>O87</f>
        <v>0</v>
      </c>
      <c r="P88" s="120">
        <f t="shared" si="52"/>
        <v>0</v>
      </c>
      <c r="Q88" s="120">
        <f t="shared" si="52"/>
        <v>0</v>
      </c>
      <c r="R88" s="457"/>
      <c r="S88" s="377"/>
      <c r="T88" s="37"/>
      <c r="U88" s="37"/>
      <c r="V88" s="37"/>
      <c r="W88" s="37"/>
      <c r="X88" s="37"/>
      <c r="Y88" s="37"/>
      <c r="Z88" s="119"/>
      <c r="AA88" s="119"/>
      <c r="AB88" s="119"/>
      <c r="AC88" s="119"/>
      <c r="AD88" s="119"/>
      <c r="AE88" s="119"/>
      <c r="AF88" s="119">
        <f t="shared" si="57"/>
        <v>0</v>
      </c>
      <c r="AG88" s="119">
        <f t="shared" si="53"/>
        <v>0</v>
      </c>
      <c r="AH88" s="119"/>
      <c r="AI88" s="119"/>
      <c r="AJ88" s="119">
        <f t="shared" si="54"/>
        <v>0</v>
      </c>
      <c r="AK88" s="119"/>
      <c r="AL88" s="119"/>
      <c r="AM88" s="118">
        <f t="shared" si="101"/>
        <v>0</v>
      </c>
      <c r="AN88" s="119"/>
      <c r="AO88" s="163">
        <f t="shared" si="98"/>
        <v>0</v>
      </c>
      <c r="AP88" s="163">
        <f t="shared" si="98"/>
        <v>0</v>
      </c>
      <c r="AQ88" s="163"/>
      <c r="AR88" s="164">
        <f>AL88/33.898</f>
        <v>0</v>
      </c>
      <c r="AS88" s="122"/>
      <c r="AT88" s="122">
        <f>AL88</f>
        <v>0</v>
      </c>
      <c r="AU88" s="122"/>
      <c r="AV88" s="118">
        <f>AV87</f>
        <v>0</v>
      </c>
      <c r="AW88" s="118">
        <f t="shared" ref="AW88:AW89" si="102">AV88*1.12</f>
        <v>0</v>
      </c>
      <c r="AX88" s="118"/>
      <c r="AY88" s="118"/>
      <c r="AZ88" s="118"/>
      <c r="BA88" s="118"/>
      <c r="BB88" s="118"/>
      <c r="BC88" s="118"/>
      <c r="BD88" s="118"/>
      <c r="BE88" s="118"/>
      <c r="BF88" s="163"/>
      <c r="BG88" s="118"/>
      <c r="BH88" s="118"/>
      <c r="BI88" s="118"/>
      <c r="BJ88" s="118"/>
      <c r="BK88" s="118"/>
      <c r="BL88" s="118"/>
      <c r="BM88" s="483"/>
      <c r="BN88" s="130"/>
      <c r="BO88" s="130"/>
      <c r="BP88" s="130"/>
      <c r="BQ88" s="130"/>
      <c r="BR88" s="130"/>
      <c r="BS88" s="130"/>
      <c r="BT88" s="130"/>
      <c r="BW88" s="25"/>
      <c r="BX88" s="26"/>
    </row>
    <row r="89" spans="1:76" hidden="1" outlineLevel="1" x14ac:dyDescent="0.25">
      <c r="A89" s="416"/>
      <c r="B89" s="375"/>
      <c r="C89" s="124" t="s">
        <v>71</v>
      </c>
      <c r="D89" s="124" t="s">
        <v>73</v>
      </c>
      <c r="E89" s="125"/>
      <c r="F89" s="126"/>
      <c r="G89" s="132"/>
      <c r="H89" s="125"/>
      <c r="I89" s="126"/>
      <c r="J89" s="126"/>
      <c r="K89" s="469"/>
      <c r="L89" s="354"/>
      <c r="M89" s="455"/>
      <c r="N89" s="127">
        <f>N88</f>
        <v>0</v>
      </c>
      <c r="O89" s="127">
        <f>O88</f>
        <v>0</v>
      </c>
      <c r="P89" s="127">
        <f t="shared" si="52"/>
        <v>0</v>
      </c>
      <c r="Q89" s="127">
        <f t="shared" si="52"/>
        <v>0</v>
      </c>
      <c r="R89" s="458"/>
      <c r="S89" s="378"/>
      <c r="T89" s="37"/>
      <c r="U89" s="37"/>
      <c r="V89" s="37"/>
      <c r="W89" s="37"/>
      <c r="X89" s="37"/>
      <c r="Y89" s="37"/>
      <c r="Z89" s="126"/>
      <c r="AA89" s="126"/>
      <c r="AB89" s="126"/>
      <c r="AC89" s="126"/>
      <c r="AD89" s="126"/>
      <c r="AE89" s="126"/>
      <c r="AF89" s="126">
        <f t="shared" si="57"/>
        <v>0</v>
      </c>
      <c r="AG89" s="126">
        <f t="shared" si="53"/>
        <v>0</v>
      </c>
      <c r="AH89" s="126"/>
      <c r="AI89" s="126"/>
      <c r="AJ89" s="126">
        <f t="shared" si="54"/>
        <v>0</v>
      </c>
      <c r="AK89" s="126"/>
      <c r="AL89" s="126">
        <f>AL88</f>
        <v>0</v>
      </c>
      <c r="AM89" s="125">
        <f t="shared" si="101"/>
        <v>0</v>
      </c>
      <c r="AN89" s="126"/>
      <c r="AO89" s="167">
        <f t="shared" si="98"/>
        <v>0</v>
      </c>
      <c r="AP89" s="167">
        <f t="shared" si="98"/>
        <v>0</v>
      </c>
      <c r="AQ89" s="167"/>
      <c r="AR89" s="168">
        <f>AL89/34</f>
        <v>0</v>
      </c>
      <c r="AS89" s="129"/>
      <c r="AT89" s="129">
        <f>AL89</f>
        <v>0</v>
      </c>
      <c r="AU89" s="129"/>
      <c r="AV89" s="125">
        <f>AV88</f>
        <v>0</v>
      </c>
      <c r="AW89" s="125">
        <f t="shared" si="102"/>
        <v>0</v>
      </c>
      <c r="AX89" s="125"/>
      <c r="AY89" s="125"/>
      <c r="AZ89" s="125"/>
      <c r="BA89" s="125"/>
      <c r="BB89" s="125"/>
      <c r="BC89" s="125"/>
      <c r="BD89" s="125"/>
      <c r="BE89" s="125"/>
      <c r="BF89" s="167"/>
      <c r="BG89" s="125"/>
      <c r="BH89" s="125"/>
      <c r="BI89" s="125"/>
      <c r="BJ89" s="125"/>
      <c r="BK89" s="125"/>
      <c r="BL89" s="125"/>
      <c r="BM89" s="484"/>
      <c r="BN89" s="130"/>
      <c r="BO89" s="130"/>
      <c r="BP89" s="130"/>
      <c r="BQ89" s="130"/>
      <c r="BR89" s="130"/>
      <c r="BS89" s="130"/>
      <c r="BT89" s="130"/>
      <c r="BW89" s="25"/>
      <c r="BX89" s="26"/>
    </row>
    <row r="90" spans="1:76" hidden="1" outlineLevel="1" x14ac:dyDescent="0.25">
      <c r="A90" s="416"/>
      <c r="B90" s="375"/>
      <c r="C90" s="117" t="s">
        <v>69</v>
      </c>
      <c r="D90" s="117" t="s">
        <v>70</v>
      </c>
      <c r="E90" s="125"/>
      <c r="F90" s="126"/>
      <c r="G90" s="132"/>
      <c r="H90" s="125"/>
      <c r="I90" s="126"/>
      <c r="J90" s="126"/>
      <c r="K90" s="467"/>
      <c r="L90" s="353"/>
      <c r="M90" s="453"/>
      <c r="N90" s="120">
        <f>O90/1.12</f>
        <v>0</v>
      </c>
      <c r="O90" s="120"/>
      <c r="P90" s="120">
        <f t="shared" si="52"/>
        <v>0</v>
      </c>
      <c r="Q90" s="120">
        <f t="shared" si="52"/>
        <v>0</v>
      </c>
      <c r="R90" s="456"/>
      <c r="S90" s="376"/>
      <c r="T90" s="37"/>
      <c r="U90" s="37"/>
      <c r="V90" s="37"/>
      <c r="W90" s="37"/>
      <c r="X90" s="37"/>
      <c r="Y90" s="37"/>
      <c r="Z90" s="119"/>
      <c r="AA90" s="119"/>
      <c r="AB90" s="119"/>
      <c r="AC90" s="119"/>
      <c r="AD90" s="119"/>
      <c r="AE90" s="119"/>
      <c r="AF90" s="119">
        <f t="shared" si="57"/>
        <v>0</v>
      </c>
      <c r="AG90" s="119">
        <f t="shared" si="53"/>
        <v>0</v>
      </c>
      <c r="AH90" s="119"/>
      <c r="AI90" s="119"/>
      <c r="AJ90" s="119">
        <f t="shared" si="54"/>
        <v>0</v>
      </c>
      <c r="AK90" s="119"/>
      <c r="AL90" s="87"/>
      <c r="AM90" s="118">
        <f t="shared" si="101"/>
        <v>0</v>
      </c>
      <c r="AN90" s="119"/>
      <c r="AO90" s="163">
        <f t="shared" si="98"/>
        <v>0</v>
      </c>
      <c r="AP90" s="163">
        <f t="shared" si="98"/>
        <v>0</v>
      </c>
      <c r="AQ90" s="118"/>
      <c r="AR90" s="164">
        <f>AL90/34</f>
        <v>0</v>
      </c>
      <c r="AS90" s="122"/>
      <c r="AT90" s="122"/>
      <c r="AU90" s="122"/>
      <c r="AV90" s="118">
        <f>AL90</f>
        <v>0</v>
      </c>
      <c r="AW90" s="118">
        <f>AV90*1.12</f>
        <v>0</v>
      </c>
      <c r="AX90" s="118"/>
      <c r="AY90" s="118"/>
      <c r="AZ90" s="118"/>
      <c r="BA90" s="118"/>
      <c r="BB90" s="118"/>
      <c r="BC90" s="118"/>
      <c r="BD90" s="118"/>
      <c r="BE90" s="118"/>
      <c r="BF90" s="163"/>
      <c r="BG90" s="118"/>
      <c r="BH90" s="118"/>
      <c r="BI90" s="118"/>
      <c r="BJ90" s="118"/>
      <c r="BK90" s="118"/>
      <c r="BL90" s="118"/>
      <c r="BM90" s="482"/>
      <c r="BN90" s="130"/>
      <c r="BO90" s="130"/>
      <c r="BP90" s="130"/>
      <c r="BQ90" s="130"/>
      <c r="BR90" s="130"/>
      <c r="BS90" s="130"/>
      <c r="BT90" s="130"/>
      <c r="BW90" s="25"/>
      <c r="BX90" s="26"/>
    </row>
    <row r="91" spans="1:76" hidden="1" outlineLevel="1" x14ac:dyDescent="0.25">
      <c r="A91" s="416"/>
      <c r="B91" s="375"/>
      <c r="C91" s="117" t="s">
        <v>71</v>
      </c>
      <c r="D91" s="117" t="s">
        <v>72</v>
      </c>
      <c r="E91" s="125"/>
      <c r="F91" s="126"/>
      <c r="G91" s="132"/>
      <c r="H91" s="125"/>
      <c r="I91" s="126"/>
      <c r="J91" s="126"/>
      <c r="K91" s="468"/>
      <c r="L91" s="375"/>
      <c r="M91" s="454"/>
      <c r="N91" s="120">
        <f>N90</f>
        <v>0</v>
      </c>
      <c r="O91" s="120">
        <f>O90</f>
        <v>0</v>
      </c>
      <c r="P91" s="120">
        <f t="shared" si="52"/>
        <v>0</v>
      </c>
      <c r="Q91" s="120">
        <f t="shared" si="52"/>
        <v>0</v>
      </c>
      <c r="R91" s="457"/>
      <c r="S91" s="377"/>
      <c r="T91" s="37"/>
      <c r="U91" s="37"/>
      <c r="V91" s="37"/>
      <c r="W91" s="37"/>
      <c r="X91" s="37"/>
      <c r="Y91" s="37"/>
      <c r="Z91" s="119"/>
      <c r="AA91" s="119"/>
      <c r="AB91" s="119"/>
      <c r="AC91" s="119"/>
      <c r="AD91" s="119"/>
      <c r="AE91" s="119"/>
      <c r="AF91" s="119">
        <f t="shared" si="57"/>
        <v>0</v>
      </c>
      <c r="AG91" s="119">
        <f t="shared" si="53"/>
        <v>0</v>
      </c>
      <c r="AH91" s="119"/>
      <c r="AI91" s="119"/>
      <c r="AJ91" s="119">
        <f t="shared" si="54"/>
        <v>0</v>
      </c>
      <c r="AK91" s="119"/>
      <c r="AL91" s="119"/>
      <c r="AM91" s="118">
        <f t="shared" si="101"/>
        <v>0</v>
      </c>
      <c r="AN91" s="119"/>
      <c r="AO91" s="163">
        <f t="shared" si="98"/>
        <v>0</v>
      </c>
      <c r="AP91" s="163">
        <f t="shared" si="98"/>
        <v>0</v>
      </c>
      <c r="AQ91" s="118"/>
      <c r="AR91" s="164">
        <f>AL91/33.828</f>
        <v>0</v>
      </c>
      <c r="AS91" s="122"/>
      <c r="AT91" s="122">
        <f>AL91</f>
        <v>0</v>
      </c>
      <c r="AU91" s="122"/>
      <c r="AV91" s="118">
        <f>AV90</f>
        <v>0</v>
      </c>
      <c r="AW91" s="118">
        <f t="shared" ref="AW91:AW92" si="103">AV91*1.12</f>
        <v>0</v>
      </c>
      <c r="AX91" s="118"/>
      <c r="AY91" s="118"/>
      <c r="AZ91" s="118"/>
      <c r="BA91" s="118"/>
      <c r="BB91" s="118"/>
      <c r="BC91" s="118"/>
      <c r="BD91" s="118"/>
      <c r="BE91" s="118"/>
      <c r="BF91" s="118"/>
      <c r="BG91" s="118"/>
      <c r="BH91" s="118"/>
      <c r="BI91" s="118"/>
      <c r="BJ91" s="118"/>
      <c r="BK91" s="118"/>
      <c r="BL91" s="118"/>
      <c r="BM91" s="483"/>
      <c r="BN91" s="130"/>
      <c r="BO91" s="130"/>
      <c r="BP91" s="130"/>
      <c r="BQ91" s="130"/>
      <c r="BR91" s="130"/>
      <c r="BS91" s="130"/>
      <c r="BT91" s="130"/>
      <c r="BW91" s="25"/>
      <c r="BX91" s="26"/>
    </row>
    <row r="92" spans="1:76" hidden="1" outlineLevel="1" x14ac:dyDescent="0.25">
      <c r="A92" s="416"/>
      <c r="B92" s="375"/>
      <c r="C92" s="124" t="s">
        <v>71</v>
      </c>
      <c r="D92" s="124" t="s">
        <v>73</v>
      </c>
      <c r="E92" s="125"/>
      <c r="F92" s="126"/>
      <c r="G92" s="132"/>
      <c r="H92" s="125"/>
      <c r="I92" s="126"/>
      <c r="J92" s="126"/>
      <c r="K92" s="469"/>
      <c r="L92" s="354"/>
      <c r="M92" s="455"/>
      <c r="N92" s="127">
        <f>N91</f>
        <v>0</v>
      </c>
      <c r="O92" s="127">
        <f>O91</f>
        <v>0</v>
      </c>
      <c r="P92" s="127">
        <f t="shared" si="52"/>
        <v>0</v>
      </c>
      <c r="Q92" s="127">
        <f t="shared" si="52"/>
        <v>0</v>
      </c>
      <c r="R92" s="458"/>
      <c r="S92" s="378"/>
      <c r="T92" s="37"/>
      <c r="U92" s="37"/>
      <c r="V92" s="37"/>
      <c r="W92" s="37"/>
      <c r="X92" s="37"/>
      <c r="Y92" s="37"/>
      <c r="Z92" s="126"/>
      <c r="AA92" s="126"/>
      <c r="AB92" s="126"/>
      <c r="AC92" s="126"/>
      <c r="AD92" s="126"/>
      <c r="AE92" s="126"/>
      <c r="AF92" s="126">
        <f t="shared" si="57"/>
        <v>0</v>
      </c>
      <c r="AG92" s="126">
        <f t="shared" si="53"/>
        <v>0</v>
      </c>
      <c r="AH92" s="126"/>
      <c r="AI92" s="126"/>
      <c r="AJ92" s="126">
        <f t="shared" si="54"/>
        <v>0</v>
      </c>
      <c r="AK92" s="126"/>
      <c r="AL92" s="126">
        <f>AL91</f>
        <v>0</v>
      </c>
      <c r="AM92" s="125">
        <f t="shared" si="101"/>
        <v>0</v>
      </c>
      <c r="AN92" s="126"/>
      <c r="AO92" s="167">
        <f t="shared" si="98"/>
        <v>0</v>
      </c>
      <c r="AP92" s="167">
        <f t="shared" si="98"/>
        <v>0</v>
      </c>
      <c r="AQ92" s="125"/>
      <c r="AR92" s="168">
        <f>AL92/33.898</f>
        <v>0</v>
      </c>
      <c r="AS92" s="129"/>
      <c r="AT92" s="129">
        <f>AT91</f>
        <v>0</v>
      </c>
      <c r="AU92" s="129"/>
      <c r="AV92" s="125">
        <f>AV91</f>
        <v>0</v>
      </c>
      <c r="AW92" s="125">
        <f t="shared" si="103"/>
        <v>0</v>
      </c>
      <c r="AX92" s="125"/>
      <c r="AY92" s="125"/>
      <c r="AZ92" s="125"/>
      <c r="BA92" s="125"/>
      <c r="BB92" s="125"/>
      <c r="BC92" s="125"/>
      <c r="BD92" s="125"/>
      <c r="BE92" s="125"/>
      <c r="BF92" s="125"/>
      <c r="BG92" s="125"/>
      <c r="BH92" s="125"/>
      <c r="BI92" s="125"/>
      <c r="BJ92" s="125"/>
      <c r="BK92" s="125"/>
      <c r="BL92" s="125"/>
      <c r="BM92" s="484"/>
      <c r="BN92" s="130"/>
      <c r="BO92" s="130"/>
      <c r="BP92" s="130"/>
      <c r="BQ92" s="130"/>
      <c r="BR92" s="130"/>
      <c r="BS92" s="130"/>
      <c r="BT92" s="130"/>
      <c r="BW92" s="25"/>
      <c r="BX92" s="26"/>
    </row>
    <row r="93" spans="1:76" ht="12.75" hidden="1" customHeight="1" outlineLevel="1" x14ac:dyDescent="0.25">
      <c r="A93" s="416"/>
      <c r="B93" s="375"/>
      <c r="C93" s="117" t="s">
        <v>69</v>
      </c>
      <c r="D93" s="117" t="s">
        <v>70</v>
      </c>
      <c r="E93" s="125"/>
      <c r="F93" s="126"/>
      <c r="G93" s="132"/>
      <c r="H93" s="125"/>
      <c r="I93" s="126"/>
      <c r="J93" s="126"/>
      <c r="K93" s="467"/>
      <c r="L93" s="353"/>
      <c r="M93" s="453"/>
      <c r="N93" s="120">
        <f>O93/1.12</f>
        <v>0</v>
      </c>
      <c r="O93" s="120"/>
      <c r="P93" s="120">
        <f t="shared" si="52"/>
        <v>0</v>
      </c>
      <c r="Q93" s="120">
        <f t="shared" si="52"/>
        <v>0</v>
      </c>
      <c r="R93" s="456"/>
      <c r="S93" s="376"/>
      <c r="T93" s="37"/>
      <c r="U93" s="37"/>
      <c r="V93" s="37"/>
      <c r="W93" s="37"/>
      <c r="X93" s="37"/>
      <c r="Y93" s="37"/>
      <c r="Z93" s="119"/>
      <c r="AA93" s="119"/>
      <c r="AB93" s="119"/>
      <c r="AC93" s="119"/>
      <c r="AD93" s="119"/>
      <c r="AE93" s="119"/>
      <c r="AF93" s="119">
        <f t="shared" si="57"/>
        <v>0</v>
      </c>
      <c r="AG93" s="119">
        <f t="shared" si="53"/>
        <v>0</v>
      </c>
      <c r="AH93" s="119"/>
      <c r="AI93" s="119"/>
      <c r="AJ93" s="119">
        <f t="shared" si="54"/>
        <v>0</v>
      </c>
      <c r="AK93" s="119"/>
      <c r="AL93" s="87">
        <f>ROUND(P93/1000,0)</f>
        <v>0</v>
      </c>
      <c r="AM93" s="118">
        <f t="shared" si="101"/>
        <v>0</v>
      </c>
      <c r="AN93" s="119"/>
      <c r="AO93" s="163">
        <f t="shared" si="98"/>
        <v>0</v>
      </c>
      <c r="AP93" s="163">
        <f t="shared" si="98"/>
        <v>0</v>
      </c>
      <c r="AQ93" s="118"/>
      <c r="AR93" s="164">
        <f>AL93/34</f>
        <v>0</v>
      </c>
      <c r="AS93" s="122"/>
      <c r="AT93" s="122"/>
      <c r="AU93" s="122"/>
      <c r="AV93" s="118">
        <f>ROUND(P93/1000,0)</f>
        <v>0</v>
      </c>
      <c r="AW93" s="118">
        <f>AV93*1.12</f>
        <v>0</v>
      </c>
      <c r="AX93" s="118"/>
      <c r="AY93" s="118"/>
      <c r="AZ93" s="118"/>
      <c r="BA93" s="118"/>
      <c r="BB93" s="118"/>
      <c r="BC93" s="118"/>
      <c r="BD93" s="118"/>
      <c r="BE93" s="118"/>
      <c r="BF93" s="118"/>
      <c r="BG93" s="118"/>
      <c r="BH93" s="118"/>
      <c r="BI93" s="118"/>
      <c r="BJ93" s="118"/>
      <c r="BK93" s="118"/>
      <c r="BL93" s="118">
        <f>AL93-AI93</f>
        <v>0</v>
      </c>
      <c r="BM93" s="482"/>
      <c r="BN93" s="130"/>
      <c r="BO93" s="130"/>
      <c r="BP93" s="130"/>
      <c r="BQ93" s="130"/>
      <c r="BR93" s="130"/>
      <c r="BS93" s="130"/>
      <c r="BT93" s="130"/>
      <c r="BW93" s="25"/>
      <c r="BX93" s="26"/>
    </row>
    <row r="94" spans="1:76" hidden="1" outlineLevel="1" x14ac:dyDescent="0.25">
      <c r="A94" s="416"/>
      <c r="B94" s="375"/>
      <c r="C94" s="117" t="s">
        <v>71</v>
      </c>
      <c r="D94" s="117" t="s">
        <v>72</v>
      </c>
      <c r="E94" s="125"/>
      <c r="F94" s="126"/>
      <c r="G94" s="132"/>
      <c r="H94" s="125"/>
      <c r="I94" s="126"/>
      <c r="J94" s="126"/>
      <c r="K94" s="468"/>
      <c r="L94" s="375"/>
      <c r="M94" s="454"/>
      <c r="N94" s="120">
        <f>N93</f>
        <v>0</v>
      </c>
      <c r="O94" s="120">
        <f>O93</f>
        <v>0</v>
      </c>
      <c r="P94" s="120">
        <f t="shared" si="52"/>
        <v>0</v>
      </c>
      <c r="Q94" s="120">
        <f t="shared" si="52"/>
        <v>0</v>
      </c>
      <c r="R94" s="457"/>
      <c r="S94" s="377"/>
      <c r="T94" s="37"/>
      <c r="U94" s="37"/>
      <c r="V94" s="37"/>
      <c r="W94" s="37"/>
      <c r="X94" s="37"/>
      <c r="Y94" s="37"/>
      <c r="Z94" s="119"/>
      <c r="AA94" s="119"/>
      <c r="AB94" s="119"/>
      <c r="AC94" s="119"/>
      <c r="AD94" s="119"/>
      <c r="AE94" s="119"/>
      <c r="AF94" s="119">
        <f t="shared" si="57"/>
        <v>0</v>
      </c>
      <c r="AG94" s="119">
        <f t="shared" si="53"/>
        <v>0</v>
      </c>
      <c r="AH94" s="119"/>
      <c r="AI94" s="119"/>
      <c r="AJ94" s="119">
        <f t="shared" si="54"/>
        <v>0</v>
      </c>
      <c r="AK94" s="119"/>
      <c r="AL94" s="119"/>
      <c r="AM94" s="118">
        <f t="shared" si="101"/>
        <v>0</v>
      </c>
      <c r="AN94" s="119"/>
      <c r="AO94" s="163">
        <f t="shared" si="98"/>
        <v>0</v>
      </c>
      <c r="AP94" s="163">
        <f t="shared" si="98"/>
        <v>0</v>
      </c>
      <c r="AQ94" s="118"/>
      <c r="AR94" s="164">
        <f>AL94/34</f>
        <v>0</v>
      </c>
      <c r="AS94" s="122"/>
      <c r="AT94" s="122">
        <f>AL94</f>
        <v>0</v>
      </c>
      <c r="AU94" s="122"/>
      <c r="AV94" s="118">
        <f>AV93</f>
        <v>0</v>
      </c>
      <c r="AW94" s="118">
        <f t="shared" ref="AW94:AW95" si="104">AV94*1.12</f>
        <v>0</v>
      </c>
      <c r="AX94" s="118"/>
      <c r="AY94" s="118"/>
      <c r="AZ94" s="118"/>
      <c r="BA94" s="118"/>
      <c r="BB94" s="118"/>
      <c r="BC94" s="118"/>
      <c r="BD94" s="118"/>
      <c r="BE94" s="118"/>
      <c r="BF94" s="118"/>
      <c r="BG94" s="118"/>
      <c r="BH94" s="118"/>
      <c r="BI94" s="118"/>
      <c r="BJ94" s="118"/>
      <c r="BK94" s="118"/>
      <c r="BL94" s="118"/>
      <c r="BM94" s="483"/>
      <c r="BN94" s="130"/>
      <c r="BO94" s="130"/>
      <c r="BP94" s="130"/>
      <c r="BQ94" s="130"/>
      <c r="BR94" s="130"/>
      <c r="BS94" s="130"/>
      <c r="BT94" s="130"/>
      <c r="BW94" s="25"/>
      <c r="BX94" s="26"/>
    </row>
    <row r="95" spans="1:76" hidden="1" outlineLevel="1" x14ac:dyDescent="0.25">
      <c r="A95" s="416"/>
      <c r="B95" s="375"/>
      <c r="C95" s="124" t="s">
        <v>71</v>
      </c>
      <c r="D95" s="124" t="s">
        <v>73</v>
      </c>
      <c r="E95" s="125"/>
      <c r="F95" s="126"/>
      <c r="G95" s="132"/>
      <c r="H95" s="125"/>
      <c r="I95" s="126"/>
      <c r="J95" s="126"/>
      <c r="K95" s="469"/>
      <c r="L95" s="375"/>
      <c r="M95" s="455"/>
      <c r="N95" s="127">
        <f>N94</f>
        <v>0</v>
      </c>
      <c r="O95" s="127">
        <f>O94</f>
        <v>0</v>
      </c>
      <c r="P95" s="127">
        <f t="shared" si="52"/>
        <v>0</v>
      </c>
      <c r="Q95" s="127">
        <f t="shared" si="52"/>
        <v>0</v>
      </c>
      <c r="R95" s="457"/>
      <c r="S95" s="378"/>
      <c r="T95" s="37"/>
      <c r="U95" s="37"/>
      <c r="V95" s="37"/>
      <c r="W95" s="37"/>
      <c r="X95" s="37"/>
      <c r="Y95" s="37"/>
      <c r="Z95" s="126"/>
      <c r="AA95" s="126"/>
      <c r="AB95" s="126"/>
      <c r="AC95" s="126"/>
      <c r="AD95" s="126"/>
      <c r="AE95" s="126"/>
      <c r="AF95" s="126">
        <f t="shared" si="57"/>
        <v>0</v>
      </c>
      <c r="AG95" s="126">
        <f t="shared" si="53"/>
        <v>0</v>
      </c>
      <c r="AH95" s="126"/>
      <c r="AI95" s="126"/>
      <c r="AJ95" s="126">
        <f t="shared" si="54"/>
        <v>0</v>
      </c>
      <c r="AK95" s="126"/>
      <c r="AL95" s="126">
        <f>AL94</f>
        <v>0</v>
      </c>
      <c r="AM95" s="125">
        <f t="shared" si="101"/>
        <v>0</v>
      </c>
      <c r="AN95" s="126"/>
      <c r="AO95" s="167">
        <f t="shared" si="98"/>
        <v>0</v>
      </c>
      <c r="AP95" s="167">
        <f t="shared" si="98"/>
        <v>0</v>
      </c>
      <c r="AQ95" s="125"/>
      <c r="AR95" s="168">
        <f>AL95/34</f>
        <v>0</v>
      </c>
      <c r="AS95" s="129"/>
      <c r="AT95" s="129">
        <f>AT94</f>
        <v>0</v>
      </c>
      <c r="AU95" s="129"/>
      <c r="AV95" s="125">
        <f>AV94</f>
        <v>0</v>
      </c>
      <c r="AW95" s="125">
        <f t="shared" si="104"/>
        <v>0</v>
      </c>
      <c r="AX95" s="125"/>
      <c r="AY95" s="125"/>
      <c r="AZ95" s="125"/>
      <c r="BA95" s="125"/>
      <c r="BB95" s="125"/>
      <c r="BC95" s="125"/>
      <c r="BD95" s="125"/>
      <c r="BE95" s="125"/>
      <c r="BF95" s="125"/>
      <c r="BG95" s="125"/>
      <c r="BH95" s="125"/>
      <c r="BI95" s="125"/>
      <c r="BJ95" s="125"/>
      <c r="BK95" s="125"/>
      <c r="BL95" s="125"/>
      <c r="BM95" s="484"/>
      <c r="BN95" s="130"/>
      <c r="BO95" s="130"/>
      <c r="BP95" s="130"/>
      <c r="BQ95" s="130"/>
      <c r="BR95" s="130"/>
      <c r="BS95" s="130"/>
      <c r="BT95" s="130"/>
      <c r="BW95" s="25"/>
      <c r="BX95" s="26"/>
    </row>
    <row r="96" spans="1:76" ht="12.75" hidden="1" customHeight="1" outlineLevel="1" x14ac:dyDescent="0.25">
      <c r="A96" s="416"/>
      <c r="B96" s="375"/>
      <c r="C96" s="117" t="s">
        <v>69</v>
      </c>
      <c r="D96" s="117" t="s">
        <v>70</v>
      </c>
      <c r="E96" s="125"/>
      <c r="F96" s="126"/>
      <c r="G96" s="132"/>
      <c r="H96" s="125"/>
      <c r="I96" s="126"/>
      <c r="J96" s="126"/>
      <c r="K96" s="467"/>
      <c r="L96" s="375"/>
      <c r="M96" s="453"/>
      <c r="N96" s="120">
        <f>O96/1.12</f>
        <v>0</v>
      </c>
      <c r="O96" s="120"/>
      <c r="P96" s="120">
        <f t="shared" si="52"/>
        <v>0</v>
      </c>
      <c r="Q96" s="120">
        <f t="shared" si="52"/>
        <v>0</v>
      </c>
      <c r="R96" s="457"/>
      <c r="S96" s="376"/>
      <c r="T96" s="37"/>
      <c r="U96" s="37"/>
      <c r="V96" s="37"/>
      <c r="W96" s="37"/>
      <c r="X96" s="37"/>
      <c r="Y96" s="37"/>
      <c r="Z96" s="119"/>
      <c r="AA96" s="119"/>
      <c r="AB96" s="119"/>
      <c r="AC96" s="119"/>
      <c r="AD96" s="119"/>
      <c r="AE96" s="119"/>
      <c r="AF96" s="119">
        <f t="shared" si="57"/>
        <v>0</v>
      </c>
      <c r="AG96" s="119">
        <f t="shared" si="53"/>
        <v>0</v>
      </c>
      <c r="AH96" s="119"/>
      <c r="AI96" s="119"/>
      <c r="AJ96" s="119">
        <f t="shared" si="54"/>
        <v>0</v>
      </c>
      <c r="AK96" s="119"/>
      <c r="AL96" s="87">
        <f>ROUND(P96/1000,0)</f>
        <v>0</v>
      </c>
      <c r="AM96" s="118">
        <f t="shared" si="101"/>
        <v>0</v>
      </c>
      <c r="AN96" s="119"/>
      <c r="AO96" s="163">
        <f t="shared" si="98"/>
        <v>0</v>
      </c>
      <c r="AP96" s="163">
        <f t="shared" si="98"/>
        <v>0</v>
      </c>
      <c r="AQ96" s="118"/>
      <c r="AR96" s="164">
        <f>AL96/360</f>
        <v>0</v>
      </c>
      <c r="AS96" s="122"/>
      <c r="AT96" s="122"/>
      <c r="AU96" s="122"/>
      <c r="AV96" s="118">
        <f>ROUND(P96/1000,0)</f>
        <v>0</v>
      </c>
      <c r="AW96" s="118">
        <f>AV96*1.12</f>
        <v>0</v>
      </c>
      <c r="AX96" s="118"/>
      <c r="AY96" s="118"/>
      <c r="AZ96" s="118"/>
      <c r="BA96" s="118"/>
      <c r="BB96" s="118"/>
      <c r="BC96" s="118"/>
      <c r="BD96" s="118"/>
      <c r="BE96" s="118"/>
      <c r="BF96" s="118"/>
      <c r="BG96" s="118"/>
      <c r="BH96" s="118"/>
      <c r="BI96" s="118"/>
      <c r="BJ96" s="118"/>
      <c r="BK96" s="118"/>
      <c r="BL96" s="118">
        <f>AL96-AI96</f>
        <v>0</v>
      </c>
      <c r="BM96" s="482"/>
      <c r="BN96" s="130"/>
      <c r="BO96" s="130"/>
      <c r="BP96" s="130"/>
      <c r="BQ96" s="130"/>
      <c r="BR96" s="130"/>
      <c r="BS96" s="130"/>
      <c r="BT96" s="130"/>
      <c r="BW96" s="25"/>
      <c r="BX96" s="26"/>
    </row>
    <row r="97" spans="1:76" hidden="1" outlineLevel="1" x14ac:dyDescent="0.25">
      <c r="A97" s="416"/>
      <c r="B97" s="375"/>
      <c r="C97" s="117" t="s">
        <v>71</v>
      </c>
      <c r="D97" s="117" t="s">
        <v>72</v>
      </c>
      <c r="E97" s="125"/>
      <c r="F97" s="126"/>
      <c r="G97" s="132"/>
      <c r="H97" s="125"/>
      <c r="I97" s="126"/>
      <c r="J97" s="126"/>
      <c r="K97" s="468"/>
      <c r="L97" s="375"/>
      <c r="M97" s="454"/>
      <c r="N97" s="120">
        <f>N96</f>
        <v>0</v>
      </c>
      <c r="O97" s="120">
        <f>O96</f>
        <v>0</v>
      </c>
      <c r="P97" s="120">
        <f t="shared" si="52"/>
        <v>0</v>
      </c>
      <c r="Q97" s="120">
        <f t="shared" si="52"/>
        <v>0</v>
      </c>
      <c r="R97" s="457"/>
      <c r="S97" s="377"/>
      <c r="T97" s="37"/>
      <c r="U97" s="37"/>
      <c r="V97" s="37"/>
      <c r="W97" s="37"/>
      <c r="X97" s="37"/>
      <c r="Y97" s="37"/>
      <c r="Z97" s="119"/>
      <c r="AA97" s="119"/>
      <c r="AB97" s="119"/>
      <c r="AC97" s="119"/>
      <c r="AD97" s="119"/>
      <c r="AE97" s="119"/>
      <c r="AF97" s="119">
        <f t="shared" si="57"/>
        <v>0</v>
      </c>
      <c r="AG97" s="119">
        <f t="shared" si="53"/>
        <v>0</v>
      </c>
      <c r="AH97" s="119"/>
      <c r="AI97" s="119"/>
      <c r="AJ97" s="119">
        <f t="shared" si="54"/>
        <v>0</v>
      </c>
      <c r="AK97" s="119"/>
      <c r="AL97" s="119"/>
      <c r="AM97" s="118">
        <f t="shared" si="101"/>
        <v>0</v>
      </c>
      <c r="AN97" s="119"/>
      <c r="AO97" s="163">
        <f t="shared" si="98"/>
        <v>0</v>
      </c>
      <c r="AP97" s="163">
        <f t="shared" si="98"/>
        <v>0</v>
      </c>
      <c r="AQ97" s="118"/>
      <c r="AR97" s="164">
        <f>AL97/359.892</f>
        <v>0</v>
      </c>
      <c r="AS97" s="122"/>
      <c r="AT97" s="122">
        <f>AL97</f>
        <v>0</v>
      </c>
      <c r="AU97" s="122"/>
      <c r="AV97" s="118">
        <f>AV96</f>
        <v>0</v>
      </c>
      <c r="AW97" s="118">
        <f t="shared" ref="AW97:AW98" si="105">AV97*1.12</f>
        <v>0</v>
      </c>
      <c r="AX97" s="118"/>
      <c r="AY97" s="118"/>
      <c r="AZ97" s="118"/>
      <c r="BA97" s="118"/>
      <c r="BB97" s="118"/>
      <c r="BC97" s="118"/>
      <c r="BD97" s="118"/>
      <c r="BE97" s="118"/>
      <c r="BF97" s="118"/>
      <c r="BG97" s="118"/>
      <c r="BH97" s="118"/>
      <c r="BI97" s="118"/>
      <c r="BJ97" s="118"/>
      <c r="BK97" s="118"/>
      <c r="BL97" s="118"/>
      <c r="BM97" s="483"/>
      <c r="BN97" s="130"/>
      <c r="BO97" s="130"/>
      <c r="BP97" s="130"/>
      <c r="BQ97" s="130"/>
      <c r="BR97" s="130"/>
      <c r="BS97" s="130"/>
      <c r="BT97" s="130"/>
      <c r="BW97" s="25"/>
      <c r="BX97" s="26"/>
    </row>
    <row r="98" spans="1:76" hidden="1" outlineLevel="1" x14ac:dyDescent="0.25">
      <c r="A98" s="416"/>
      <c r="B98" s="375"/>
      <c r="C98" s="124" t="s">
        <v>71</v>
      </c>
      <c r="D98" s="124" t="s">
        <v>73</v>
      </c>
      <c r="E98" s="125"/>
      <c r="F98" s="126"/>
      <c r="G98" s="132"/>
      <c r="H98" s="125"/>
      <c r="I98" s="126"/>
      <c r="J98" s="126"/>
      <c r="K98" s="469"/>
      <c r="L98" s="354"/>
      <c r="M98" s="455"/>
      <c r="N98" s="127">
        <f>N97</f>
        <v>0</v>
      </c>
      <c r="O98" s="127">
        <f>O97</f>
        <v>0</v>
      </c>
      <c r="P98" s="127">
        <f t="shared" si="52"/>
        <v>0</v>
      </c>
      <c r="Q98" s="127">
        <f t="shared" si="52"/>
        <v>0</v>
      </c>
      <c r="R98" s="458"/>
      <c r="S98" s="378"/>
      <c r="T98" s="37"/>
      <c r="U98" s="37"/>
      <c r="V98" s="37"/>
      <c r="W98" s="37"/>
      <c r="X98" s="37"/>
      <c r="Y98" s="37"/>
      <c r="Z98" s="126"/>
      <c r="AA98" s="126"/>
      <c r="AB98" s="126"/>
      <c r="AC98" s="126"/>
      <c r="AD98" s="126"/>
      <c r="AE98" s="126"/>
      <c r="AF98" s="126">
        <f t="shared" si="57"/>
        <v>0</v>
      </c>
      <c r="AG98" s="126">
        <f t="shared" si="53"/>
        <v>0</v>
      </c>
      <c r="AH98" s="126"/>
      <c r="AI98" s="126"/>
      <c r="AJ98" s="126">
        <f t="shared" si="54"/>
        <v>0</v>
      </c>
      <c r="AK98" s="126"/>
      <c r="AL98" s="126">
        <f>AL97</f>
        <v>0</v>
      </c>
      <c r="AM98" s="125">
        <f t="shared" si="101"/>
        <v>0</v>
      </c>
      <c r="AN98" s="126"/>
      <c r="AO98" s="167">
        <f t="shared" ref="AO98:AP98" si="106">AL98-AI98</f>
        <v>0</v>
      </c>
      <c r="AP98" s="167">
        <f t="shared" si="106"/>
        <v>0</v>
      </c>
      <c r="AQ98" s="125"/>
      <c r="AR98" s="168">
        <f>AL98/359.892</f>
        <v>0</v>
      </c>
      <c r="AS98" s="129"/>
      <c r="AT98" s="129">
        <f>AT97</f>
        <v>0</v>
      </c>
      <c r="AU98" s="129"/>
      <c r="AV98" s="125">
        <f>AV97</f>
        <v>0</v>
      </c>
      <c r="AW98" s="125">
        <f t="shared" si="105"/>
        <v>0</v>
      </c>
      <c r="AX98" s="125"/>
      <c r="AY98" s="125"/>
      <c r="AZ98" s="125"/>
      <c r="BA98" s="125"/>
      <c r="BB98" s="125"/>
      <c r="BC98" s="125"/>
      <c r="BD98" s="125"/>
      <c r="BE98" s="125"/>
      <c r="BF98" s="125"/>
      <c r="BG98" s="125"/>
      <c r="BH98" s="125"/>
      <c r="BI98" s="125"/>
      <c r="BJ98" s="125"/>
      <c r="BK98" s="125"/>
      <c r="BL98" s="125"/>
      <c r="BM98" s="484"/>
      <c r="BN98" s="130"/>
      <c r="BO98" s="130"/>
      <c r="BP98" s="130"/>
      <c r="BQ98" s="130"/>
      <c r="BR98" s="130"/>
      <c r="BS98" s="130"/>
      <c r="BT98" s="130"/>
      <c r="BW98" s="25"/>
      <c r="BX98" s="26"/>
    </row>
    <row r="99" spans="1:76" s="97" customFormat="1" ht="18.75" hidden="1" customHeight="1" outlineLevel="1" x14ac:dyDescent="0.25">
      <c r="A99" s="355"/>
      <c r="B99" s="353"/>
      <c r="C99" s="117" t="s">
        <v>69</v>
      </c>
      <c r="D99" s="117" t="s">
        <v>70</v>
      </c>
      <c r="E99" s="118">
        <f t="shared" si="56"/>
        <v>0</v>
      </c>
      <c r="F99" s="161">
        <f>J99</f>
        <v>0</v>
      </c>
      <c r="G99" s="402"/>
      <c r="H99" s="404"/>
      <c r="I99" s="161"/>
      <c r="J99" s="161">
        <f>I99*1.12</f>
        <v>0</v>
      </c>
      <c r="K99" s="467"/>
      <c r="L99" s="353"/>
      <c r="M99" s="453"/>
      <c r="N99" s="162">
        <f>O99/1.12</f>
        <v>0</v>
      </c>
      <c r="O99" s="162"/>
      <c r="P99" s="162">
        <f t="shared" si="52"/>
        <v>0</v>
      </c>
      <c r="Q99" s="162">
        <f t="shared" si="52"/>
        <v>0</v>
      </c>
      <c r="R99" s="456"/>
      <c r="S99" s="376"/>
      <c r="T99" s="37"/>
      <c r="U99" s="37"/>
      <c r="V99" s="37"/>
      <c r="W99" s="37"/>
      <c r="X99" s="37"/>
      <c r="Y99" s="37"/>
      <c r="Z99" s="119"/>
      <c r="AA99" s="119"/>
      <c r="AB99" s="119"/>
      <c r="AC99" s="119"/>
      <c r="AD99" s="119"/>
      <c r="AE99" s="119"/>
      <c r="AF99" s="119">
        <f t="shared" si="57"/>
        <v>0</v>
      </c>
      <c r="AG99" s="119">
        <f t="shared" si="53"/>
        <v>0</v>
      </c>
      <c r="AH99" s="119"/>
      <c r="AI99" s="119"/>
      <c r="AJ99" s="161">
        <f>AI99*1.12</f>
        <v>0</v>
      </c>
      <c r="AK99" s="161"/>
      <c r="AL99" s="170"/>
      <c r="AM99" s="163">
        <f>AL99*1.12</f>
        <v>0</v>
      </c>
      <c r="AN99" s="119"/>
      <c r="AO99" s="118">
        <f>AL99-AI99</f>
        <v>0</v>
      </c>
      <c r="AP99" s="118">
        <f>AM99-AJ99</f>
        <v>0</v>
      </c>
      <c r="AQ99" s="118"/>
      <c r="AR99" s="121" t="str">
        <f t="shared" si="49"/>
        <v/>
      </c>
      <c r="AS99" s="122"/>
      <c r="AT99" s="122"/>
      <c r="AU99" s="122"/>
      <c r="AV99" s="40">
        <f>AL99</f>
        <v>0</v>
      </c>
      <c r="AW99" s="171">
        <f>AV99</f>
        <v>0</v>
      </c>
      <c r="AX99" s="118"/>
      <c r="AY99" s="118"/>
      <c r="AZ99" s="118"/>
      <c r="BA99" s="118"/>
      <c r="BB99" s="118"/>
      <c r="BC99" s="118"/>
      <c r="BD99" s="118"/>
      <c r="BE99" s="118"/>
      <c r="BF99" s="118"/>
      <c r="BG99" s="118"/>
      <c r="BH99" s="118"/>
      <c r="BI99" s="118"/>
      <c r="BJ99" s="118"/>
      <c r="BK99" s="118"/>
      <c r="BL99" s="118"/>
      <c r="BM99" s="357"/>
      <c r="BN99" s="123"/>
      <c r="BO99" s="123"/>
      <c r="BP99" s="123"/>
      <c r="BQ99" s="123"/>
      <c r="BR99" s="123"/>
      <c r="BS99" s="123"/>
      <c r="BT99" s="123"/>
      <c r="BW99" s="100"/>
      <c r="BX99" s="101"/>
    </row>
    <row r="100" spans="1:76" s="97" customFormat="1" ht="18.75" hidden="1" customHeight="1" outlineLevel="1" x14ac:dyDescent="0.25">
      <c r="A100" s="416"/>
      <c r="B100" s="375"/>
      <c r="C100" s="117" t="s">
        <v>71</v>
      </c>
      <c r="D100" s="117" t="s">
        <v>72</v>
      </c>
      <c r="E100" s="118">
        <f t="shared" si="56"/>
        <v>0</v>
      </c>
      <c r="F100" s="161">
        <f>J100</f>
        <v>0</v>
      </c>
      <c r="G100" s="403"/>
      <c r="H100" s="405"/>
      <c r="I100" s="161">
        <f>I99</f>
        <v>0</v>
      </c>
      <c r="J100" s="161">
        <f>I100*1.12</f>
        <v>0</v>
      </c>
      <c r="K100" s="468"/>
      <c r="L100" s="375"/>
      <c r="M100" s="454"/>
      <c r="N100" s="120">
        <f>N99</f>
        <v>0</v>
      </c>
      <c r="O100" s="120">
        <f>O99</f>
        <v>0</v>
      </c>
      <c r="P100" s="120">
        <f t="shared" si="52"/>
        <v>0</v>
      </c>
      <c r="Q100" s="120">
        <f t="shared" si="52"/>
        <v>0</v>
      </c>
      <c r="R100" s="457"/>
      <c r="S100" s="377"/>
      <c r="T100" s="37"/>
      <c r="U100" s="37"/>
      <c r="V100" s="37"/>
      <c r="W100" s="37"/>
      <c r="X100" s="37"/>
      <c r="Y100" s="37"/>
      <c r="Z100" s="119"/>
      <c r="AA100" s="119"/>
      <c r="AB100" s="119"/>
      <c r="AC100" s="119"/>
      <c r="AD100" s="119"/>
      <c r="AE100" s="119"/>
      <c r="AF100" s="119">
        <f t="shared" si="57"/>
        <v>0</v>
      </c>
      <c r="AG100" s="119">
        <f t="shared" si="53"/>
        <v>0</v>
      </c>
      <c r="AH100" s="119"/>
      <c r="AI100" s="119">
        <f>AI99</f>
        <v>0</v>
      </c>
      <c r="AJ100" s="161">
        <f>AI100*1.12</f>
        <v>0</v>
      </c>
      <c r="AK100" s="161"/>
      <c r="AL100" s="161"/>
      <c r="AM100" s="163">
        <f>AL100*1.12</f>
        <v>0</v>
      </c>
      <c r="AN100" s="119"/>
      <c r="AO100" s="118">
        <f t="shared" ref="AO100:AP102" si="107">AL100-AI100</f>
        <v>0</v>
      </c>
      <c r="AP100" s="118">
        <f t="shared" si="107"/>
        <v>0</v>
      </c>
      <c r="AQ100" s="118"/>
      <c r="AR100" s="121" t="str">
        <f t="shared" si="49"/>
        <v/>
      </c>
      <c r="AS100" s="122"/>
      <c r="AT100" s="122">
        <f>AL100</f>
        <v>0</v>
      </c>
      <c r="AU100" s="122"/>
      <c r="AV100" s="40">
        <f>AL100</f>
        <v>0</v>
      </c>
      <c r="AW100" s="171">
        <f>AM100</f>
        <v>0</v>
      </c>
      <c r="AX100" s="118"/>
      <c r="AY100" s="118"/>
      <c r="AZ100" s="118"/>
      <c r="BA100" s="118"/>
      <c r="BB100" s="118"/>
      <c r="BC100" s="118"/>
      <c r="BD100" s="118"/>
      <c r="BE100" s="118"/>
      <c r="BF100" s="118"/>
      <c r="BG100" s="118"/>
      <c r="BH100" s="118"/>
      <c r="BI100" s="118"/>
      <c r="BJ100" s="118"/>
      <c r="BK100" s="118"/>
      <c r="BL100" s="118"/>
      <c r="BM100" s="459"/>
      <c r="BN100" s="123"/>
      <c r="BO100" s="123"/>
      <c r="BP100" s="123"/>
      <c r="BQ100" s="123"/>
      <c r="BR100" s="123"/>
      <c r="BS100" s="123"/>
      <c r="BT100" s="123"/>
      <c r="BW100" s="100"/>
      <c r="BX100" s="101"/>
    </row>
    <row r="101" spans="1:76" ht="18.75" hidden="1" customHeight="1" outlineLevel="1" x14ac:dyDescent="0.25">
      <c r="A101" s="356"/>
      <c r="B101" s="354"/>
      <c r="C101" s="124" t="s">
        <v>71</v>
      </c>
      <c r="D101" s="124" t="s">
        <v>73</v>
      </c>
      <c r="E101" s="125">
        <f t="shared" si="56"/>
        <v>0</v>
      </c>
      <c r="F101" s="166">
        <f>J101</f>
        <v>0</v>
      </c>
      <c r="G101" s="414"/>
      <c r="H101" s="415"/>
      <c r="I101" s="166">
        <f>I100</f>
        <v>0</v>
      </c>
      <c r="J101" s="166">
        <f>J100</f>
        <v>0</v>
      </c>
      <c r="K101" s="469"/>
      <c r="L101" s="354"/>
      <c r="M101" s="455"/>
      <c r="N101" s="127">
        <f>N100</f>
        <v>0</v>
      </c>
      <c r="O101" s="127">
        <f>O100</f>
        <v>0</v>
      </c>
      <c r="P101" s="127">
        <f t="shared" si="52"/>
        <v>0</v>
      </c>
      <c r="Q101" s="127">
        <f t="shared" si="52"/>
        <v>0</v>
      </c>
      <c r="R101" s="458"/>
      <c r="S101" s="378"/>
      <c r="T101" s="37"/>
      <c r="U101" s="37"/>
      <c r="V101" s="37"/>
      <c r="W101" s="37"/>
      <c r="X101" s="37"/>
      <c r="Y101" s="37"/>
      <c r="Z101" s="126"/>
      <c r="AA101" s="126"/>
      <c r="AB101" s="126"/>
      <c r="AC101" s="126"/>
      <c r="AD101" s="126"/>
      <c r="AE101" s="126"/>
      <c r="AF101" s="126">
        <f t="shared" si="57"/>
        <v>0</v>
      </c>
      <c r="AG101" s="126">
        <f t="shared" si="53"/>
        <v>0</v>
      </c>
      <c r="AH101" s="126"/>
      <c r="AI101" s="126">
        <f>AI100</f>
        <v>0</v>
      </c>
      <c r="AJ101" s="166">
        <f>AI101*1.12</f>
        <v>0</v>
      </c>
      <c r="AK101" s="166"/>
      <c r="AL101" s="166">
        <f>AL100</f>
        <v>0</v>
      </c>
      <c r="AM101" s="167">
        <f>AL101*1.12</f>
        <v>0</v>
      </c>
      <c r="AN101" s="126"/>
      <c r="AO101" s="125">
        <f t="shared" si="107"/>
        <v>0</v>
      </c>
      <c r="AP101" s="125">
        <f t="shared" si="107"/>
        <v>0</v>
      </c>
      <c r="AQ101" s="125"/>
      <c r="AR101" s="128" t="str">
        <f t="shared" si="49"/>
        <v/>
      </c>
      <c r="AS101" s="129"/>
      <c r="AT101" s="129">
        <f>AL101</f>
        <v>0</v>
      </c>
      <c r="AU101" s="129"/>
      <c r="AV101" s="172">
        <f>AV100</f>
        <v>0</v>
      </c>
      <c r="AW101" s="173">
        <f>AM101</f>
        <v>0</v>
      </c>
      <c r="AX101" s="125"/>
      <c r="AY101" s="125"/>
      <c r="AZ101" s="125"/>
      <c r="BA101" s="125"/>
      <c r="BB101" s="125"/>
      <c r="BC101" s="125"/>
      <c r="BD101" s="125"/>
      <c r="BE101" s="125"/>
      <c r="BF101" s="125"/>
      <c r="BG101" s="125"/>
      <c r="BH101" s="125"/>
      <c r="BI101" s="125"/>
      <c r="BJ101" s="125"/>
      <c r="BK101" s="125"/>
      <c r="BL101" s="125"/>
      <c r="BM101" s="358"/>
      <c r="BN101" s="130"/>
      <c r="BO101" s="130"/>
      <c r="BP101" s="130"/>
      <c r="BQ101" s="130"/>
      <c r="BR101" s="130"/>
      <c r="BS101" s="130"/>
      <c r="BT101" s="130"/>
      <c r="BW101" s="25"/>
      <c r="BX101" s="26"/>
    </row>
    <row r="102" spans="1:76" hidden="1" outlineLevel="1" x14ac:dyDescent="0.25">
      <c r="A102" s="32"/>
      <c r="B102" s="131" t="s">
        <v>77</v>
      </c>
      <c r="C102" s="124" t="s">
        <v>71</v>
      </c>
      <c r="D102" s="124" t="s">
        <v>73</v>
      </c>
      <c r="E102" s="125"/>
      <c r="F102" s="125">
        <f t="shared" si="50"/>
        <v>0</v>
      </c>
      <c r="G102" s="132"/>
      <c r="H102" s="125"/>
      <c r="I102" s="126"/>
      <c r="J102" s="126">
        <f t="shared" si="51"/>
        <v>0</v>
      </c>
      <c r="K102" s="133"/>
      <c r="L102" s="134"/>
      <c r="M102" s="135"/>
      <c r="N102" s="127"/>
      <c r="O102" s="127"/>
      <c r="P102" s="127"/>
      <c r="Q102" s="127"/>
      <c r="R102" s="136"/>
      <c r="S102" s="125"/>
      <c r="T102" s="126"/>
      <c r="U102" s="126"/>
      <c r="V102" s="126"/>
      <c r="W102" s="126"/>
      <c r="X102" s="126"/>
      <c r="Y102" s="126"/>
      <c r="Z102" s="126"/>
      <c r="AA102" s="126"/>
      <c r="AB102" s="126"/>
      <c r="AC102" s="126"/>
      <c r="AD102" s="126"/>
      <c r="AE102" s="126"/>
      <c r="AF102" s="126"/>
      <c r="AG102" s="126"/>
      <c r="AH102" s="126"/>
      <c r="AI102" s="126"/>
      <c r="AJ102" s="126">
        <f>AI102*1.12</f>
        <v>0</v>
      </c>
      <c r="AK102" s="126"/>
      <c r="AL102" s="126"/>
      <c r="AM102" s="125">
        <f t="shared" si="55"/>
        <v>0</v>
      </c>
      <c r="AN102" s="126"/>
      <c r="AO102" s="125">
        <f t="shared" si="107"/>
        <v>0</v>
      </c>
      <c r="AP102" s="125">
        <f t="shared" si="107"/>
        <v>0</v>
      </c>
      <c r="AQ102" s="125"/>
      <c r="AR102" s="128" t="str">
        <f t="shared" si="49"/>
        <v/>
      </c>
      <c r="AS102" s="129">
        <f>AL102</f>
        <v>0</v>
      </c>
      <c r="AT102" s="129"/>
      <c r="AU102" s="129"/>
      <c r="AV102" s="125">
        <f t="shared" ref="AV102" si="108">I102</f>
        <v>0</v>
      </c>
      <c r="AW102" s="125">
        <f t="shared" ref="AW102" si="109">AV102*1.12</f>
        <v>0</v>
      </c>
      <c r="AX102" s="125"/>
      <c r="AY102" s="125"/>
      <c r="AZ102" s="125"/>
      <c r="BA102" s="125"/>
      <c r="BB102" s="125"/>
      <c r="BC102" s="125"/>
      <c r="BD102" s="125"/>
      <c r="BE102" s="125"/>
      <c r="BF102" s="125"/>
      <c r="BG102" s="125"/>
      <c r="BH102" s="125"/>
      <c r="BI102" s="125"/>
      <c r="BJ102" s="125"/>
      <c r="BK102" s="125"/>
      <c r="BL102" s="125"/>
      <c r="BM102" s="130"/>
      <c r="BN102" s="130"/>
      <c r="BO102" s="130"/>
      <c r="BP102" s="130"/>
      <c r="BQ102" s="130"/>
      <c r="BR102" s="130"/>
      <c r="BS102" s="130"/>
      <c r="BT102" s="130"/>
      <c r="BW102" s="25"/>
      <c r="BX102" s="26"/>
    </row>
    <row r="103" spans="1:76" s="97" customFormat="1" ht="12.75" hidden="1" customHeight="1" outlineLevel="1" x14ac:dyDescent="0.25">
      <c r="A103" s="350">
        <v>2</v>
      </c>
      <c r="B103" s="352" t="s">
        <v>92</v>
      </c>
      <c r="C103" s="84" t="s">
        <v>69</v>
      </c>
      <c r="D103" s="84" t="s">
        <v>70</v>
      </c>
      <c r="E103" s="85">
        <f>E107+E110+E113+E116</f>
        <v>0</v>
      </c>
      <c r="F103" s="85">
        <f>F107+F110+F113+F116</f>
        <v>0</v>
      </c>
      <c r="G103" s="86"/>
      <c r="H103" s="85">
        <f>H107+H110+H113+H116</f>
        <v>0</v>
      </c>
      <c r="I103" s="87">
        <f>I107+I110+I113+I116</f>
        <v>0</v>
      </c>
      <c r="J103" s="87">
        <f>J107+J110+J113+J116</f>
        <v>0</v>
      </c>
      <c r="K103" s="88"/>
      <c r="L103" s="89"/>
      <c r="M103" s="90"/>
      <c r="N103" s="91">
        <f>N107+N110+N113+N116</f>
        <v>0</v>
      </c>
      <c r="O103" s="91">
        <f>O107+O110+O113+O116</f>
        <v>0</v>
      </c>
      <c r="P103" s="91">
        <f>P107+P110+P113+P116</f>
        <v>0</v>
      </c>
      <c r="Q103" s="91">
        <f>Q107+Q110+Q113+Q116</f>
        <v>0</v>
      </c>
      <c r="R103" s="92"/>
      <c r="S103" s="85">
        <f>S107+S110+S113</f>
        <v>0</v>
      </c>
      <c r="T103" s="87">
        <f>T107+T110+T113+T116</f>
        <v>0</v>
      </c>
      <c r="U103" s="87">
        <f>U107+U110+U113+U116</f>
        <v>0</v>
      </c>
      <c r="V103" s="87">
        <f t="shared" ref="V103" si="110">V107+V110+V113+V116</f>
        <v>0</v>
      </c>
      <c r="W103" s="87">
        <f>W107+W110+W113+W116</f>
        <v>0</v>
      </c>
      <c r="X103" s="87">
        <f>X107+X110+X113+X116</f>
        <v>0</v>
      </c>
      <c r="Y103" s="87">
        <f t="shared" ref="Y103" si="111">Y107+Y110+Y113+Y116</f>
        <v>0</v>
      </c>
      <c r="Z103" s="87">
        <f>Z107+Z110+Z113+Z116</f>
        <v>0</v>
      </c>
      <c r="AA103" s="87">
        <f>AA107+AA110+AA113+AA116</f>
        <v>0</v>
      </c>
      <c r="AB103" s="87">
        <f t="shared" ref="AB103:AQ103" si="112">AB107+AB110+AB113+AB116</f>
        <v>0</v>
      </c>
      <c r="AC103" s="87">
        <f t="shared" si="112"/>
        <v>0</v>
      </c>
      <c r="AD103" s="87">
        <f t="shared" si="112"/>
        <v>0</v>
      </c>
      <c r="AE103" s="87">
        <f t="shared" si="112"/>
        <v>0</v>
      </c>
      <c r="AF103" s="87">
        <f>AF107+AF110+AF113+AF116</f>
        <v>0</v>
      </c>
      <c r="AG103" s="87">
        <f t="shared" si="112"/>
        <v>0</v>
      </c>
      <c r="AH103" s="87">
        <f t="shared" si="112"/>
        <v>0</v>
      </c>
      <c r="AI103" s="87">
        <f t="shared" si="112"/>
        <v>0</v>
      </c>
      <c r="AJ103" s="87">
        <f t="shared" si="112"/>
        <v>0</v>
      </c>
      <c r="AK103" s="87">
        <f t="shared" si="112"/>
        <v>0</v>
      </c>
      <c r="AL103" s="87">
        <f t="shared" si="112"/>
        <v>0</v>
      </c>
      <c r="AM103" s="85">
        <f t="shared" si="112"/>
        <v>0</v>
      </c>
      <c r="AN103" s="87">
        <f t="shared" si="112"/>
        <v>0</v>
      </c>
      <c r="AO103" s="85">
        <f t="shared" si="112"/>
        <v>0</v>
      </c>
      <c r="AP103" s="85">
        <f t="shared" si="112"/>
        <v>0</v>
      </c>
      <c r="AQ103" s="85">
        <f t="shared" si="112"/>
        <v>0</v>
      </c>
      <c r="AR103" s="93" t="str">
        <f t="shared" si="28"/>
        <v/>
      </c>
      <c r="AS103" s="94">
        <f t="shared" ref="AS103:BL103" si="113">AS107+AS110+AS113+AS116</f>
        <v>0</v>
      </c>
      <c r="AT103" s="94">
        <f t="shared" si="113"/>
        <v>0</v>
      </c>
      <c r="AU103" s="94">
        <f t="shared" si="113"/>
        <v>0</v>
      </c>
      <c r="AV103" s="85">
        <f t="shared" si="113"/>
        <v>27191975</v>
      </c>
      <c r="AW103" s="85">
        <f t="shared" si="113"/>
        <v>30455012.000000004</v>
      </c>
      <c r="AX103" s="85">
        <f t="shared" si="113"/>
        <v>1898</v>
      </c>
      <c r="AY103" s="85">
        <f t="shared" si="113"/>
        <v>0</v>
      </c>
      <c r="AZ103" s="85">
        <f t="shared" si="113"/>
        <v>0</v>
      </c>
      <c r="BA103" s="85">
        <f t="shared" si="113"/>
        <v>0</v>
      </c>
      <c r="BB103" s="85">
        <f t="shared" si="113"/>
        <v>0</v>
      </c>
      <c r="BC103" s="85">
        <f t="shared" si="113"/>
        <v>0</v>
      </c>
      <c r="BD103" s="85">
        <f t="shared" si="113"/>
        <v>0</v>
      </c>
      <c r="BE103" s="85">
        <f t="shared" si="113"/>
        <v>0</v>
      </c>
      <c r="BF103" s="85">
        <f t="shared" si="113"/>
        <v>0</v>
      </c>
      <c r="BG103" s="85">
        <f t="shared" si="113"/>
        <v>0</v>
      </c>
      <c r="BH103" s="85">
        <f t="shared" si="113"/>
        <v>0</v>
      </c>
      <c r="BI103" s="85">
        <f t="shared" si="113"/>
        <v>0</v>
      </c>
      <c r="BJ103" s="85">
        <f t="shared" si="113"/>
        <v>0</v>
      </c>
      <c r="BK103" s="85">
        <f t="shared" si="113"/>
        <v>0</v>
      </c>
      <c r="BL103" s="85">
        <f t="shared" si="113"/>
        <v>0</v>
      </c>
      <c r="BM103" s="96"/>
      <c r="BN103" s="96">
        <f t="shared" ref="BN103" si="114">BN107+BN110+BN113</f>
        <v>0</v>
      </c>
      <c r="BO103" s="85">
        <f t="shared" ref="BO103:BQ103" si="115">BO107+BO110+BO113+BO116</f>
        <v>0</v>
      </c>
      <c r="BP103" s="85">
        <f t="shared" si="115"/>
        <v>0</v>
      </c>
      <c r="BQ103" s="85">
        <f t="shared" si="115"/>
        <v>0</v>
      </c>
      <c r="BR103" s="96"/>
      <c r="BS103" s="96"/>
      <c r="BT103" s="96"/>
      <c r="BW103" s="98">
        <f>SUM(AY103:BL103)</f>
        <v>0</v>
      </c>
      <c r="BX103" s="99">
        <f>AO103-BW103</f>
        <v>0</v>
      </c>
    </row>
    <row r="104" spans="1:76" s="97" customFormat="1" hidden="1" outlineLevel="1" x14ac:dyDescent="0.25">
      <c r="A104" s="476"/>
      <c r="B104" s="478"/>
      <c r="C104" s="84" t="s">
        <v>71</v>
      </c>
      <c r="D104" s="84" t="s">
        <v>72</v>
      </c>
      <c r="E104" s="85">
        <f>E105+E106</f>
        <v>0</v>
      </c>
      <c r="F104" s="85">
        <f t="shared" ref="F104:BQ104" si="116">F105+F106</f>
        <v>0</v>
      </c>
      <c r="G104" s="86"/>
      <c r="H104" s="85"/>
      <c r="I104" s="87">
        <f>I105+I106</f>
        <v>0</v>
      </c>
      <c r="J104" s="87">
        <f t="shared" si="116"/>
        <v>0</v>
      </c>
      <c r="K104" s="88">
        <f t="shared" si="116"/>
        <v>0</v>
      </c>
      <c r="L104" s="89">
        <f t="shared" si="116"/>
        <v>0</v>
      </c>
      <c r="M104" s="90">
        <f t="shared" si="116"/>
        <v>0</v>
      </c>
      <c r="N104" s="91">
        <f>N105+N106</f>
        <v>0</v>
      </c>
      <c r="O104" s="91">
        <f t="shared" ref="O104:Q104" si="117">O105+O106</f>
        <v>0</v>
      </c>
      <c r="P104" s="91">
        <f>P105+P106</f>
        <v>0</v>
      </c>
      <c r="Q104" s="91">
        <f t="shared" si="117"/>
        <v>0</v>
      </c>
      <c r="R104" s="92"/>
      <c r="S104" s="85">
        <f t="shared" si="116"/>
        <v>0</v>
      </c>
      <c r="T104" s="87">
        <f>T105+T106</f>
        <v>0</v>
      </c>
      <c r="U104" s="87">
        <f t="shared" ref="U104:V104" si="118">U105+U106</f>
        <v>0</v>
      </c>
      <c r="V104" s="87">
        <f t="shared" si="118"/>
        <v>0</v>
      </c>
      <c r="W104" s="87">
        <f>W105+W106</f>
        <v>0</v>
      </c>
      <c r="X104" s="87">
        <f t="shared" ref="X104:Y104" si="119">X105+X106</f>
        <v>0</v>
      </c>
      <c r="Y104" s="87">
        <f t="shared" si="119"/>
        <v>0</v>
      </c>
      <c r="Z104" s="87">
        <f>Z105+Z106</f>
        <v>0</v>
      </c>
      <c r="AA104" s="87">
        <f t="shared" ref="AA104:AJ104" si="120">AA105+AA106</f>
        <v>0</v>
      </c>
      <c r="AB104" s="87">
        <f t="shared" si="120"/>
        <v>0</v>
      </c>
      <c r="AC104" s="87">
        <f t="shared" si="120"/>
        <v>0</v>
      </c>
      <c r="AD104" s="87">
        <f t="shared" si="120"/>
        <v>0</v>
      </c>
      <c r="AE104" s="87">
        <f t="shared" si="120"/>
        <v>0</v>
      </c>
      <c r="AF104" s="87">
        <f t="shared" si="120"/>
        <v>0</v>
      </c>
      <c r="AG104" s="87">
        <f t="shared" si="120"/>
        <v>0</v>
      </c>
      <c r="AH104" s="87">
        <f t="shared" si="120"/>
        <v>0</v>
      </c>
      <c r="AI104" s="87">
        <f t="shared" si="120"/>
        <v>0</v>
      </c>
      <c r="AJ104" s="87">
        <f t="shared" si="120"/>
        <v>0</v>
      </c>
      <c r="AK104" s="87"/>
      <c r="AL104" s="87">
        <f t="shared" ref="AL104:AM104" si="121">AL105+AL106</f>
        <v>0</v>
      </c>
      <c r="AM104" s="85">
        <f t="shared" si="121"/>
        <v>0</v>
      </c>
      <c r="AN104" s="87"/>
      <c r="AO104" s="85">
        <f t="shared" ref="AO104:AP104" si="122">AO105+AO106</f>
        <v>0</v>
      </c>
      <c r="AP104" s="85">
        <f t="shared" si="122"/>
        <v>0</v>
      </c>
      <c r="AQ104" s="85"/>
      <c r="AR104" s="93" t="str">
        <f t="shared" si="28"/>
        <v/>
      </c>
      <c r="AS104" s="94">
        <f t="shared" ref="AS104:BL104" si="123">AS105+AS106</f>
        <v>0</v>
      </c>
      <c r="AT104" s="94">
        <f t="shared" si="123"/>
        <v>0</v>
      </c>
      <c r="AU104" s="94">
        <f t="shared" si="123"/>
        <v>0</v>
      </c>
      <c r="AV104" s="85">
        <f t="shared" si="123"/>
        <v>8463359.7863392867</v>
      </c>
      <c r="AW104" s="85">
        <f t="shared" si="123"/>
        <v>9478962.9607000016</v>
      </c>
      <c r="AX104" s="85">
        <f t="shared" si="123"/>
        <v>0</v>
      </c>
      <c r="AY104" s="85">
        <f t="shared" si="123"/>
        <v>0</v>
      </c>
      <c r="AZ104" s="85">
        <f t="shared" si="123"/>
        <v>0</v>
      </c>
      <c r="BA104" s="85">
        <f t="shared" si="123"/>
        <v>0</v>
      </c>
      <c r="BB104" s="85">
        <f t="shared" si="123"/>
        <v>0</v>
      </c>
      <c r="BC104" s="85">
        <f t="shared" si="123"/>
        <v>0</v>
      </c>
      <c r="BD104" s="85">
        <f t="shared" si="123"/>
        <v>0</v>
      </c>
      <c r="BE104" s="85">
        <f t="shared" si="123"/>
        <v>0</v>
      </c>
      <c r="BF104" s="85">
        <f t="shared" si="123"/>
        <v>0</v>
      </c>
      <c r="BG104" s="85">
        <f t="shared" si="123"/>
        <v>0</v>
      </c>
      <c r="BH104" s="85">
        <f t="shared" si="123"/>
        <v>0</v>
      </c>
      <c r="BI104" s="85">
        <f t="shared" si="123"/>
        <v>0</v>
      </c>
      <c r="BJ104" s="85">
        <f t="shared" si="123"/>
        <v>0</v>
      </c>
      <c r="BK104" s="85">
        <f t="shared" si="123"/>
        <v>0</v>
      </c>
      <c r="BL104" s="85">
        <f t="shared" si="123"/>
        <v>0</v>
      </c>
      <c r="BM104" s="96"/>
      <c r="BN104" s="96">
        <f t="shared" si="116"/>
        <v>0</v>
      </c>
      <c r="BO104" s="85">
        <f t="shared" si="116"/>
        <v>0</v>
      </c>
      <c r="BP104" s="85">
        <f t="shared" si="116"/>
        <v>5678900.0392899998</v>
      </c>
      <c r="BQ104" s="85">
        <f t="shared" si="116"/>
        <v>0</v>
      </c>
      <c r="BR104" s="96"/>
      <c r="BS104" s="96"/>
      <c r="BT104" s="96"/>
      <c r="BW104" s="100"/>
      <c r="BX104" s="101"/>
    </row>
    <row r="105" spans="1:76" s="114" customFormat="1" hidden="1" outlineLevel="1" x14ac:dyDescent="0.25">
      <c r="A105" s="476"/>
      <c r="B105" s="478"/>
      <c r="C105" s="480" t="s">
        <v>71</v>
      </c>
      <c r="D105" s="102" t="s">
        <v>73</v>
      </c>
      <c r="E105" s="103">
        <f>E109+E112+E118</f>
        <v>0</v>
      </c>
      <c r="F105" s="103">
        <f>F109+F112+F118</f>
        <v>0</v>
      </c>
      <c r="G105" s="104"/>
      <c r="H105" s="103"/>
      <c r="I105" s="105">
        <f>I109+I112+I118</f>
        <v>0</v>
      </c>
      <c r="J105" s="105">
        <f>J109+J112+J118</f>
        <v>0</v>
      </c>
      <c r="K105" s="106">
        <f t="shared" ref="K105:BN105" si="124">K109+K112</f>
        <v>0</v>
      </c>
      <c r="L105" s="107">
        <f t="shared" si="124"/>
        <v>0</v>
      </c>
      <c r="M105" s="108">
        <f t="shared" si="124"/>
        <v>0</v>
      </c>
      <c r="N105" s="109">
        <f>N109+N112+N118</f>
        <v>0</v>
      </c>
      <c r="O105" s="109">
        <f>O109+O112+O118</f>
        <v>0</v>
      </c>
      <c r="P105" s="109">
        <f>P109+P112+P118</f>
        <v>0</v>
      </c>
      <c r="Q105" s="109">
        <f>Q109+Q112+Q118</f>
        <v>0</v>
      </c>
      <c r="R105" s="110">
        <f t="shared" si="124"/>
        <v>0</v>
      </c>
      <c r="S105" s="103">
        <f t="shared" si="124"/>
        <v>0</v>
      </c>
      <c r="T105" s="105">
        <f>T109+T112+T118</f>
        <v>0</v>
      </c>
      <c r="U105" s="105">
        <f>U109+U112+U118</f>
        <v>0</v>
      </c>
      <c r="V105" s="105">
        <f t="shared" ref="V105" si="125">V109+V112+V118</f>
        <v>0</v>
      </c>
      <c r="W105" s="105">
        <f>W109+W112+W118</f>
        <v>0</v>
      </c>
      <c r="X105" s="105">
        <f>X109+X112+X118</f>
        <v>0</v>
      </c>
      <c r="Y105" s="105">
        <f t="shared" ref="Y105" si="126">Y109+Y112+Y118</f>
        <v>0</v>
      </c>
      <c r="Z105" s="105">
        <f>Z109+Z112+Z118</f>
        <v>0</v>
      </c>
      <c r="AA105" s="105">
        <f>AA109+AA112+AA118</f>
        <v>0</v>
      </c>
      <c r="AB105" s="105">
        <f t="shared" ref="AB105:AJ105" si="127">AB109+AB112+AB118</f>
        <v>0</v>
      </c>
      <c r="AC105" s="105">
        <f t="shared" si="127"/>
        <v>0</v>
      </c>
      <c r="AD105" s="105">
        <f t="shared" si="127"/>
        <v>0</v>
      </c>
      <c r="AE105" s="105">
        <f t="shared" si="127"/>
        <v>0</v>
      </c>
      <c r="AF105" s="105">
        <f t="shared" si="127"/>
        <v>0</v>
      </c>
      <c r="AG105" s="105">
        <f t="shared" si="127"/>
        <v>0</v>
      </c>
      <c r="AH105" s="105">
        <f t="shared" si="127"/>
        <v>0</v>
      </c>
      <c r="AI105" s="105">
        <f t="shared" si="127"/>
        <v>0</v>
      </c>
      <c r="AJ105" s="105">
        <f t="shared" si="127"/>
        <v>0</v>
      </c>
      <c r="AK105" s="105"/>
      <c r="AL105" s="105">
        <f t="shared" ref="AL105:AM105" si="128">AL109+AL112+AL118</f>
        <v>0</v>
      </c>
      <c r="AM105" s="103">
        <f t="shared" si="128"/>
        <v>0</v>
      </c>
      <c r="AN105" s="105"/>
      <c r="AO105" s="103">
        <f t="shared" ref="AO105:AP105" si="129">AO109+AO112+AO118</f>
        <v>0</v>
      </c>
      <c r="AP105" s="103">
        <f t="shared" si="129"/>
        <v>0</v>
      </c>
      <c r="AQ105" s="103"/>
      <c r="AR105" s="174" t="str">
        <f t="shared" si="28"/>
        <v/>
      </c>
      <c r="AS105" s="112">
        <f t="shared" ref="AS105:BL105" si="130">AS109+AS112+AS118</f>
        <v>0</v>
      </c>
      <c r="AT105" s="112">
        <f t="shared" si="130"/>
        <v>0</v>
      </c>
      <c r="AU105" s="112">
        <f t="shared" si="130"/>
        <v>0</v>
      </c>
      <c r="AV105" s="103">
        <f t="shared" si="130"/>
        <v>8463359.7863392867</v>
      </c>
      <c r="AW105" s="103">
        <f t="shared" si="130"/>
        <v>9478962.9607000016</v>
      </c>
      <c r="AX105" s="103">
        <f t="shared" si="130"/>
        <v>0</v>
      </c>
      <c r="AY105" s="103">
        <f t="shared" si="130"/>
        <v>0</v>
      </c>
      <c r="AZ105" s="103">
        <f t="shared" si="130"/>
        <v>0</v>
      </c>
      <c r="BA105" s="103">
        <f t="shared" si="130"/>
        <v>0</v>
      </c>
      <c r="BB105" s="103">
        <f t="shared" si="130"/>
        <v>0</v>
      </c>
      <c r="BC105" s="103">
        <f t="shared" si="130"/>
        <v>0</v>
      </c>
      <c r="BD105" s="103">
        <f t="shared" si="130"/>
        <v>0</v>
      </c>
      <c r="BE105" s="103">
        <f t="shared" si="130"/>
        <v>0</v>
      </c>
      <c r="BF105" s="103">
        <f t="shared" si="130"/>
        <v>0</v>
      </c>
      <c r="BG105" s="103">
        <f t="shared" si="130"/>
        <v>0</v>
      </c>
      <c r="BH105" s="103">
        <f t="shared" si="130"/>
        <v>0</v>
      </c>
      <c r="BI105" s="103">
        <f t="shared" si="130"/>
        <v>0</v>
      </c>
      <c r="BJ105" s="103">
        <f t="shared" si="130"/>
        <v>0</v>
      </c>
      <c r="BK105" s="103">
        <f t="shared" si="130"/>
        <v>0</v>
      </c>
      <c r="BL105" s="103">
        <f t="shared" si="130"/>
        <v>0</v>
      </c>
      <c r="BM105" s="113"/>
      <c r="BN105" s="113">
        <f t="shared" si="124"/>
        <v>0</v>
      </c>
      <c r="BO105" s="103">
        <f t="shared" ref="BO105:BQ105" si="131">BO109+BO112+BO118</f>
        <v>0</v>
      </c>
      <c r="BP105" s="103">
        <f t="shared" si="131"/>
        <v>5678900.0392899998</v>
      </c>
      <c r="BQ105" s="103">
        <f t="shared" si="131"/>
        <v>0</v>
      </c>
      <c r="BR105" s="113"/>
      <c r="BS105" s="113"/>
      <c r="BT105" s="113"/>
      <c r="BW105" s="115"/>
      <c r="BX105" s="116"/>
    </row>
    <row r="106" spans="1:76" s="114" customFormat="1" hidden="1" outlineLevel="1" x14ac:dyDescent="0.25">
      <c r="A106" s="477"/>
      <c r="B106" s="479"/>
      <c r="C106" s="481"/>
      <c r="D106" s="102" t="s">
        <v>74</v>
      </c>
      <c r="E106" s="103">
        <f>E115</f>
        <v>0</v>
      </c>
      <c r="F106" s="103">
        <f t="shared" ref="F106:BQ106" si="132">F115</f>
        <v>0</v>
      </c>
      <c r="G106" s="104"/>
      <c r="H106" s="103"/>
      <c r="I106" s="105">
        <f t="shared" si="132"/>
        <v>0</v>
      </c>
      <c r="J106" s="105">
        <f t="shared" si="132"/>
        <v>0</v>
      </c>
      <c r="K106" s="106">
        <f t="shared" si="132"/>
        <v>0</v>
      </c>
      <c r="L106" s="107">
        <f t="shared" si="132"/>
        <v>0</v>
      </c>
      <c r="M106" s="108">
        <f t="shared" si="132"/>
        <v>0</v>
      </c>
      <c r="N106" s="109">
        <f t="shared" si="132"/>
        <v>0</v>
      </c>
      <c r="O106" s="109">
        <f t="shared" si="132"/>
        <v>0</v>
      </c>
      <c r="P106" s="109">
        <f t="shared" si="132"/>
        <v>0</v>
      </c>
      <c r="Q106" s="109">
        <f t="shared" si="132"/>
        <v>0</v>
      </c>
      <c r="R106" s="110">
        <f t="shared" si="132"/>
        <v>0</v>
      </c>
      <c r="S106" s="103">
        <f t="shared" si="132"/>
        <v>0</v>
      </c>
      <c r="T106" s="105">
        <f t="shared" si="132"/>
        <v>0</v>
      </c>
      <c r="U106" s="105">
        <f t="shared" si="132"/>
        <v>0</v>
      </c>
      <c r="V106" s="105">
        <f t="shared" si="132"/>
        <v>0</v>
      </c>
      <c r="W106" s="105">
        <f t="shared" si="132"/>
        <v>0</v>
      </c>
      <c r="X106" s="105">
        <f t="shared" si="132"/>
        <v>0</v>
      </c>
      <c r="Y106" s="105">
        <f t="shared" si="132"/>
        <v>0</v>
      </c>
      <c r="Z106" s="105">
        <f t="shared" si="132"/>
        <v>0</v>
      </c>
      <c r="AA106" s="105">
        <f t="shared" si="132"/>
        <v>0</v>
      </c>
      <c r="AB106" s="105">
        <f t="shared" si="132"/>
        <v>0</v>
      </c>
      <c r="AC106" s="105">
        <f t="shared" si="132"/>
        <v>0</v>
      </c>
      <c r="AD106" s="105">
        <f t="shared" si="132"/>
        <v>0</v>
      </c>
      <c r="AE106" s="105">
        <f t="shared" si="132"/>
        <v>0</v>
      </c>
      <c r="AF106" s="105">
        <f t="shared" si="132"/>
        <v>0</v>
      </c>
      <c r="AG106" s="105">
        <f t="shared" si="132"/>
        <v>0</v>
      </c>
      <c r="AH106" s="105">
        <f t="shared" si="132"/>
        <v>0</v>
      </c>
      <c r="AI106" s="105">
        <f t="shared" si="132"/>
        <v>0</v>
      </c>
      <c r="AJ106" s="105">
        <f t="shared" si="132"/>
        <v>0</v>
      </c>
      <c r="AK106" s="105"/>
      <c r="AL106" s="105">
        <f t="shared" ref="AL106:AM106" si="133">AL115</f>
        <v>0</v>
      </c>
      <c r="AM106" s="103">
        <f t="shared" si="133"/>
        <v>0</v>
      </c>
      <c r="AN106" s="105"/>
      <c r="AO106" s="103">
        <f t="shared" ref="AO106:AP106" si="134">AO115</f>
        <v>0</v>
      </c>
      <c r="AP106" s="103">
        <f t="shared" si="134"/>
        <v>0</v>
      </c>
      <c r="AQ106" s="103"/>
      <c r="AR106" s="174" t="str">
        <f t="shared" si="28"/>
        <v/>
      </c>
      <c r="AS106" s="112">
        <f t="shared" ref="AS106:BL106" si="135">AS115</f>
        <v>0</v>
      </c>
      <c r="AT106" s="112">
        <f t="shared" si="135"/>
        <v>0</v>
      </c>
      <c r="AU106" s="112">
        <f t="shared" si="135"/>
        <v>0</v>
      </c>
      <c r="AV106" s="103">
        <f t="shared" si="135"/>
        <v>0</v>
      </c>
      <c r="AW106" s="103">
        <f t="shared" si="135"/>
        <v>0</v>
      </c>
      <c r="AX106" s="103">
        <f t="shared" si="135"/>
        <v>0</v>
      </c>
      <c r="AY106" s="103">
        <f t="shared" si="135"/>
        <v>0</v>
      </c>
      <c r="AZ106" s="103">
        <f t="shared" si="135"/>
        <v>0</v>
      </c>
      <c r="BA106" s="103">
        <f t="shared" si="135"/>
        <v>0</v>
      </c>
      <c r="BB106" s="103">
        <f t="shared" si="135"/>
        <v>0</v>
      </c>
      <c r="BC106" s="103">
        <f t="shared" si="135"/>
        <v>0</v>
      </c>
      <c r="BD106" s="103">
        <f t="shared" si="135"/>
        <v>0</v>
      </c>
      <c r="BE106" s="103">
        <f t="shared" si="135"/>
        <v>0</v>
      </c>
      <c r="BF106" s="103">
        <f t="shared" si="135"/>
        <v>0</v>
      </c>
      <c r="BG106" s="103">
        <f t="shared" si="135"/>
        <v>0</v>
      </c>
      <c r="BH106" s="103">
        <f t="shared" si="135"/>
        <v>0</v>
      </c>
      <c r="BI106" s="103">
        <f t="shared" si="135"/>
        <v>0</v>
      </c>
      <c r="BJ106" s="103">
        <f t="shared" si="135"/>
        <v>0</v>
      </c>
      <c r="BK106" s="103">
        <f t="shared" si="135"/>
        <v>0</v>
      </c>
      <c r="BL106" s="103">
        <f t="shared" si="135"/>
        <v>0</v>
      </c>
      <c r="BM106" s="113"/>
      <c r="BN106" s="113">
        <f t="shared" si="132"/>
        <v>0</v>
      </c>
      <c r="BO106" s="103">
        <f t="shared" si="132"/>
        <v>0</v>
      </c>
      <c r="BP106" s="103">
        <f t="shared" si="132"/>
        <v>0</v>
      </c>
      <c r="BQ106" s="103">
        <f t="shared" si="132"/>
        <v>0</v>
      </c>
      <c r="BR106" s="113"/>
      <c r="BS106" s="113"/>
      <c r="BT106" s="113"/>
      <c r="BW106" s="115"/>
      <c r="BX106" s="116"/>
    </row>
    <row r="107" spans="1:76" s="97" customFormat="1" hidden="1" outlineLevel="1" x14ac:dyDescent="0.25">
      <c r="A107" s="355"/>
      <c r="B107" s="353" t="s">
        <v>93</v>
      </c>
      <c r="C107" s="117" t="s">
        <v>69</v>
      </c>
      <c r="D107" s="117" t="s">
        <v>70</v>
      </c>
      <c r="E107" s="118"/>
      <c r="F107" s="118">
        <f>E107*1.12</f>
        <v>0</v>
      </c>
      <c r="G107" s="464">
        <v>1418</v>
      </c>
      <c r="H107" s="376">
        <f>100-100</f>
        <v>0</v>
      </c>
      <c r="I107" s="119"/>
      <c r="J107" s="119">
        <f t="shared" ref="J107:J118" si="136">I107*1.12</f>
        <v>0</v>
      </c>
      <c r="K107" s="467" t="s">
        <v>94</v>
      </c>
      <c r="L107" s="353" t="s">
        <v>95</v>
      </c>
      <c r="M107" s="453" t="s">
        <v>96</v>
      </c>
      <c r="N107" s="175">
        <f>P107</f>
        <v>0</v>
      </c>
      <c r="O107" s="120">
        <f>N107*1.12</f>
        <v>0</v>
      </c>
      <c r="P107" s="175"/>
      <c r="Q107" s="120">
        <f>P107*1.12</f>
        <v>0</v>
      </c>
      <c r="R107" s="473" t="s">
        <v>97</v>
      </c>
      <c r="S107" s="376">
        <f>500-500</f>
        <v>0</v>
      </c>
      <c r="T107" s="119">
        <f>ROUND(13720.934*V107,0)+1-1</f>
        <v>0</v>
      </c>
      <c r="U107" s="119">
        <f>T107*1.12</f>
        <v>0</v>
      </c>
      <c r="V107" s="119">
        <f>195-195</f>
        <v>0</v>
      </c>
      <c r="W107" s="119">
        <f>ROUND(13720.934*Y107,0)</f>
        <v>0</v>
      </c>
      <c r="X107" s="119">
        <f>W107*1.12</f>
        <v>0</v>
      </c>
      <c r="Y107" s="119">
        <f>202-202</f>
        <v>0</v>
      </c>
      <c r="Z107" s="119">
        <f>ROUND(13720.934*AB107,0)-2591+2591</f>
        <v>0</v>
      </c>
      <c r="AA107" s="119">
        <f>Z107*1.12</f>
        <v>0</v>
      </c>
      <c r="AB107" s="119">
        <f>3-3</f>
        <v>0</v>
      </c>
      <c r="AC107" s="119">
        <f>ROUND(AE107*13720.934,0)-891+891</f>
        <v>0</v>
      </c>
      <c r="AD107" s="119">
        <f>AC107*1.12</f>
        <v>0</v>
      </c>
      <c r="AE107" s="119">
        <f>4-4</f>
        <v>0</v>
      </c>
      <c r="AF107" s="119">
        <f>Z107+AC107+W107+T107</f>
        <v>0</v>
      </c>
      <c r="AG107" s="119">
        <f t="shared" ref="AG107:AH118" si="137">AA107+AD107+X107+U107</f>
        <v>0</v>
      </c>
      <c r="AH107" s="119">
        <f t="shared" si="137"/>
        <v>0</v>
      </c>
      <c r="AI107" s="119"/>
      <c r="AJ107" s="119">
        <f>AI107*1.12</f>
        <v>0</v>
      </c>
      <c r="AK107" s="119"/>
      <c r="AL107" s="119"/>
      <c r="AM107" s="119">
        <f>AL107*1.12</f>
        <v>0</v>
      </c>
      <c r="AN107" s="119"/>
      <c r="AO107" s="118">
        <f t="shared" ref="AO107:AQ118" si="138">AL107-AI107</f>
        <v>0</v>
      </c>
      <c r="AP107" s="118">
        <f t="shared" si="138"/>
        <v>0</v>
      </c>
      <c r="AQ107" s="118">
        <f t="shared" si="138"/>
        <v>0</v>
      </c>
      <c r="AR107" s="121" t="str">
        <f t="shared" si="28"/>
        <v/>
      </c>
      <c r="AS107" s="122"/>
      <c r="AT107" s="122"/>
      <c r="AU107" s="122"/>
      <c r="AV107" s="118">
        <f>ROUND(13720.934*AX107,0)</f>
        <v>1372093</v>
      </c>
      <c r="AW107" s="118">
        <f>AV107*1.12</f>
        <v>1536744.1600000001</v>
      </c>
      <c r="AX107" s="118">
        <v>100</v>
      </c>
      <c r="AY107" s="118"/>
      <c r="AZ107" s="118"/>
      <c r="BA107" s="118"/>
      <c r="BB107" s="118"/>
      <c r="BC107" s="118">
        <f>AL107-AI107</f>
        <v>0</v>
      </c>
      <c r="BD107" s="118"/>
      <c r="BE107" s="118"/>
      <c r="BF107" s="118"/>
      <c r="BG107" s="118"/>
      <c r="BH107" s="118"/>
      <c r="BI107" s="118"/>
      <c r="BJ107" s="118"/>
      <c r="BK107" s="118"/>
      <c r="BL107" s="118"/>
      <c r="BM107" s="357" t="s">
        <v>98</v>
      </c>
      <c r="BN107" s="123"/>
      <c r="BO107" s="123"/>
      <c r="BP107" s="123"/>
      <c r="BQ107" s="123"/>
      <c r="BR107" s="123"/>
      <c r="BS107" s="123"/>
      <c r="BT107" s="123"/>
      <c r="BW107" s="100"/>
      <c r="BX107" s="101"/>
    </row>
    <row r="108" spans="1:76" s="97" customFormat="1" hidden="1" outlineLevel="1" x14ac:dyDescent="0.25">
      <c r="A108" s="416"/>
      <c r="B108" s="375"/>
      <c r="C108" s="117" t="s">
        <v>71</v>
      </c>
      <c r="D108" s="117" t="s">
        <v>72</v>
      </c>
      <c r="E108" s="118">
        <f>E107</f>
        <v>0</v>
      </c>
      <c r="F108" s="118">
        <f t="shared" ref="F108:F118" si="139">E108*1.12</f>
        <v>0</v>
      </c>
      <c r="G108" s="465"/>
      <c r="H108" s="377"/>
      <c r="I108" s="119"/>
      <c r="J108" s="119">
        <f t="shared" si="136"/>
        <v>0</v>
      </c>
      <c r="K108" s="468"/>
      <c r="L108" s="375"/>
      <c r="M108" s="454"/>
      <c r="N108" s="175">
        <f>P108</f>
        <v>0</v>
      </c>
      <c r="O108" s="120">
        <f t="shared" ref="O108:Q109" si="140">N108*1.12</f>
        <v>0</v>
      </c>
      <c r="P108" s="175">
        <f>P107</f>
        <v>0</v>
      </c>
      <c r="Q108" s="120">
        <f t="shared" si="140"/>
        <v>0</v>
      </c>
      <c r="R108" s="474"/>
      <c r="S108" s="377"/>
      <c r="T108" s="119">
        <f>4434006/1.12-4434006/1.12</f>
        <v>0</v>
      </c>
      <c r="U108" s="119">
        <f>T108*1.12</f>
        <v>0</v>
      </c>
      <c r="V108" s="119"/>
      <c r="W108" s="119">
        <f>3248598.785/1.12-3248598.785/1.12</f>
        <v>0</v>
      </c>
      <c r="X108" s="119">
        <f>W108*1.12</f>
        <v>0</v>
      </c>
      <c r="Y108" s="119"/>
      <c r="Z108" s="119"/>
      <c r="AA108" s="119"/>
      <c r="AB108" s="119"/>
      <c r="AC108" s="119"/>
      <c r="AD108" s="119"/>
      <c r="AE108" s="119"/>
      <c r="AF108" s="119">
        <f t="shared" ref="AF108:AF118" si="141">Z108+AC108+W108+T108</f>
        <v>0</v>
      </c>
      <c r="AG108" s="119">
        <f t="shared" si="137"/>
        <v>0</v>
      </c>
      <c r="AH108" s="119">
        <f t="shared" si="137"/>
        <v>0</v>
      </c>
      <c r="AI108" s="119"/>
      <c r="AJ108" s="119">
        <f t="shared" ref="AJ108:AJ109" si="142">AI108*1.12</f>
        <v>0</v>
      </c>
      <c r="AK108" s="119"/>
      <c r="AL108" s="119"/>
      <c r="AM108" s="119">
        <f t="shared" ref="AM108:AM109" si="143">AL108*1.12</f>
        <v>0</v>
      </c>
      <c r="AN108" s="119"/>
      <c r="AO108" s="118">
        <f t="shared" si="138"/>
        <v>0</v>
      </c>
      <c r="AP108" s="118">
        <f t="shared" si="138"/>
        <v>0</v>
      </c>
      <c r="AQ108" s="118">
        <f t="shared" si="138"/>
        <v>0</v>
      </c>
      <c r="AR108" s="121" t="str">
        <f t="shared" si="28"/>
        <v/>
      </c>
      <c r="AS108" s="122"/>
      <c r="AT108" s="122"/>
      <c r="AU108" s="122"/>
      <c r="AV108" s="118"/>
      <c r="AW108" s="118">
        <f t="shared" ref="AW108:AW112" si="144">AV108*1.12</f>
        <v>0</v>
      </c>
      <c r="AX108" s="118"/>
      <c r="AY108" s="118"/>
      <c r="AZ108" s="118"/>
      <c r="BA108" s="118"/>
      <c r="BB108" s="118"/>
      <c r="BC108" s="118"/>
      <c r="BD108" s="118"/>
      <c r="BE108" s="118"/>
      <c r="BF108" s="118"/>
      <c r="BG108" s="118"/>
      <c r="BH108" s="118"/>
      <c r="BI108" s="118"/>
      <c r="BJ108" s="118"/>
      <c r="BK108" s="118"/>
      <c r="BL108" s="118"/>
      <c r="BM108" s="459"/>
      <c r="BN108" s="123"/>
      <c r="BO108" s="123"/>
      <c r="BP108" s="123"/>
      <c r="BQ108" s="123"/>
      <c r="BR108" s="123"/>
      <c r="BS108" s="123"/>
      <c r="BT108" s="123"/>
      <c r="BW108" s="100"/>
      <c r="BX108" s="101"/>
    </row>
    <row r="109" spans="1:76" hidden="1" outlineLevel="1" x14ac:dyDescent="0.25">
      <c r="A109" s="356"/>
      <c r="B109" s="354"/>
      <c r="C109" s="124" t="s">
        <v>71</v>
      </c>
      <c r="D109" s="124" t="s">
        <v>73</v>
      </c>
      <c r="E109" s="125">
        <f>E108</f>
        <v>0</v>
      </c>
      <c r="F109" s="125">
        <f t="shared" si="139"/>
        <v>0</v>
      </c>
      <c r="G109" s="466"/>
      <c r="H109" s="378"/>
      <c r="I109" s="126">
        <f>I108</f>
        <v>0</v>
      </c>
      <c r="J109" s="119">
        <f t="shared" si="136"/>
        <v>0</v>
      </c>
      <c r="K109" s="469"/>
      <c r="L109" s="354"/>
      <c r="M109" s="455"/>
      <c r="N109" s="176">
        <f>P109</f>
        <v>0</v>
      </c>
      <c r="O109" s="127">
        <f t="shared" si="140"/>
        <v>0</v>
      </c>
      <c r="P109" s="176">
        <f>P108</f>
        <v>0</v>
      </c>
      <c r="Q109" s="127">
        <f t="shared" si="140"/>
        <v>0</v>
      </c>
      <c r="R109" s="475"/>
      <c r="S109" s="378"/>
      <c r="T109" s="126">
        <f>T108</f>
        <v>0</v>
      </c>
      <c r="U109" s="126">
        <f>T109*1.12</f>
        <v>0</v>
      </c>
      <c r="V109" s="126"/>
      <c r="W109" s="126">
        <f>W108</f>
        <v>0</v>
      </c>
      <c r="X109" s="126">
        <f>W109*1.12</f>
        <v>0</v>
      </c>
      <c r="Y109" s="126"/>
      <c r="Z109" s="126"/>
      <c r="AA109" s="126"/>
      <c r="AB109" s="126"/>
      <c r="AC109" s="126"/>
      <c r="AD109" s="126"/>
      <c r="AE109" s="126"/>
      <c r="AF109" s="126">
        <f t="shared" si="141"/>
        <v>0</v>
      </c>
      <c r="AG109" s="126">
        <f t="shared" si="137"/>
        <v>0</v>
      </c>
      <c r="AH109" s="126">
        <f t="shared" si="137"/>
        <v>0</v>
      </c>
      <c r="AI109" s="126"/>
      <c r="AJ109" s="126">
        <f t="shared" si="142"/>
        <v>0</v>
      </c>
      <c r="AK109" s="126"/>
      <c r="AL109" s="126"/>
      <c r="AM109" s="126">
        <f t="shared" si="143"/>
        <v>0</v>
      </c>
      <c r="AN109" s="126"/>
      <c r="AO109" s="125">
        <f t="shared" si="138"/>
        <v>0</v>
      </c>
      <c r="AP109" s="125">
        <f t="shared" si="138"/>
        <v>0</v>
      </c>
      <c r="AQ109" s="125">
        <f t="shared" si="138"/>
        <v>0</v>
      </c>
      <c r="AR109" s="128" t="str">
        <f t="shared" si="28"/>
        <v/>
      </c>
      <c r="AS109" s="129"/>
      <c r="AT109" s="129"/>
      <c r="AU109" s="129"/>
      <c r="AV109" s="125">
        <f>AV108</f>
        <v>0</v>
      </c>
      <c r="AW109" s="125">
        <f t="shared" si="144"/>
        <v>0</v>
      </c>
      <c r="AX109" s="125"/>
      <c r="AY109" s="125"/>
      <c r="AZ109" s="125"/>
      <c r="BA109" s="125"/>
      <c r="BB109" s="125"/>
      <c r="BC109" s="125"/>
      <c r="BD109" s="125"/>
      <c r="BE109" s="125"/>
      <c r="BF109" s="125"/>
      <c r="BG109" s="125"/>
      <c r="BH109" s="125"/>
      <c r="BI109" s="125"/>
      <c r="BJ109" s="125"/>
      <c r="BK109" s="125"/>
      <c r="BL109" s="125"/>
      <c r="BM109" s="358"/>
      <c r="BN109" s="130"/>
      <c r="BO109" s="130"/>
      <c r="BP109" s="130"/>
      <c r="BQ109" s="130"/>
      <c r="BR109" s="130"/>
      <c r="BS109" s="130"/>
      <c r="BT109" s="130"/>
      <c r="BW109" s="25"/>
      <c r="BX109" s="26"/>
    </row>
    <row r="110" spans="1:76" s="97" customFormat="1" hidden="1" outlineLevel="1" x14ac:dyDescent="0.25">
      <c r="A110" s="355"/>
      <c r="B110" s="353" t="s">
        <v>93</v>
      </c>
      <c r="C110" s="117" t="s">
        <v>69</v>
      </c>
      <c r="D110" s="117" t="s">
        <v>70</v>
      </c>
      <c r="E110" s="118">
        <f>798750-798750</f>
        <v>0</v>
      </c>
      <c r="F110" s="118">
        <f t="shared" si="139"/>
        <v>0</v>
      </c>
      <c r="G110" s="464">
        <v>1517</v>
      </c>
      <c r="H110" s="376">
        <f>71-71</f>
        <v>0</v>
      </c>
      <c r="I110" s="119"/>
      <c r="J110" s="119">
        <f t="shared" si="136"/>
        <v>0</v>
      </c>
      <c r="K110" s="467" t="s">
        <v>94</v>
      </c>
      <c r="L110" s="353" t="s">
        <v>99</v>
      </c>
      <c r="M110" s="453" t="s">
        <v>96</v>
      </c>
      <c r="N110" s="120"/>
      <c r="O110" s="120">
        <f>N110*1.12</f>
        <v>0</v>
      </c>
      <c r="P110" s="120">
        <f>N110</f>
        <v>0</v>
      </c>
      <c r="Q110" s="120">
        <f>P110*1.12</f>
        <v>0</v>
      </c>
      <c r="R110" s="470" t="s">
        <v>100</v>
      </c>
      <c r="S110" s="376">
        <f>71-71</f>
        <v>0</v>
      </c>
      <c r="T110" s="119"/>
      <c r="U110" s="119"/>
      <c r="V110" s="119"/>
      <c r="W110" s="119"/>
      <c r="X110" s="119"/>
      <c r="Y110" s="119"/>
      <c r="Z110" s="119"/>
      <c r="AA110" s="119"/>
      <c r="AB110" s="119"/>
      <c r="AC110" s="119"/>
      <c r="AD110" s="119"/>
      <c r="AE110" s="119"/>
      <c r="AF110" s="119">
        <f t="shared" si="141"/>
        <v>0</v>
      </c>
      <c r="AG110" s="119">
        <f t="shared" si="137"/>
        <v>0</v>
      </c>
      <c r="AH110" s="119">
        <f t="shared" si="137"/>
        <v>0</v>
      </c>
      <c r="AI110" s="119"/>
      <c r="AJ110" s="119"/>
      <c r="AK110" s="119"/>
      <c r="AL110" s="119"/>
      <c r="AM110" s="118">
        <f>AL110*1.12</f>
        <v>0</v>
      </c>
      <c r="AN110" s="119"/>
      <c r="AO110" s="118">
        <f t="shared" si="138"/>
        <v>0</v>
      </c>
      <c r="AP110" s="177">
        <f t="shared" si="138"/>
        <v>0</v>
      </c>
      <c r="AQ110" s="118">
        <f t="shared" si="138"/>
        <v>0</v>
      </c>
      <c r="AR110" s="121" t="str">
        <f t="shared" si="28"/>
        <v/>
      </c>
      <c r="AS110" s="122"/>
      <c r="AT110" s="122"/>
      <c r="AU110" s="122"/>
      <c r="AV110" s="118"/>
      <c r="AW110" s="118">
        <f t="shared" si="144"/>
        <v>0</v>
      </c>
      <c r="AX110" s="118"/>
      <c r="AY110" s="118"/>
      <c r="AZ110" s="118"/>
      <c r="BA110" s="118"/>
      <c r="BB110" s="118"/>
      <c r="BC110" s="118">
        <f>AL110-AI110</f>
        <v>0</v>
      </c>
      <c r="BD110" s="118"/>
      <c r="BE110" s="118"/>
      <c r="BF110" s="118"/>
      <c r="BG110" s="118"/>
      <c r="BH110" s="118"/>
      <c r="BI110" s="118"/>
      <c r="BJ110" s="118"/>
      <c r="BK110" s="118"/>
      <c r="BL110" s="118"/>
      <c r="BM110" s="357" t="s">
        <v>98</v>
      </c>
      <c r="BN110" s="123"/>
      <c r="BO110" s="123"/>
      <c r="BP110" s="123"/>
      <c r="BQ110" s="123"/>
      <c r="BR110" s="123"/>
      <c r="BS110" s="123"/>
      <c r="BT110" s="123"/>
      <c r="BW110" s="100"/>
      <c r="BX110" s="101"/>
    </row>
    <row r="111" spans="1:76" s="97" customFormat="1" hidden="1" outlineLevel="1" x14ac:dyDescent="0.25">
      <c r="A111" s="416"/>
      <c r="B111" s="375"/>
      <c r="C111" s="117" t="s">
        <v>71</v>
      </c>
      <c r="D111" s="117" t="s">
        <v>72</v>
      </c>
      <c r="E111" s="118">
        <f>798750-798750</f>
        <v>0</v>
      </c>
      <c r="F111" s="118">
        <f t="shared" si="139"/>
        <v>0</v>
      </c>
      <c r="G111" s="465"/>
      <c r="H111" s="377"/>
      <c r="I111" s="119"/>
      <c r="J111" s="119">
        <f t="shared" si="136"/>
        <v>0</v>
      </c>
      <c r="K111" s="468"/>
      <c r="L111" s="375"/>
      <c r="M111" s="454"/>
      <c r="N111" s="120">
        <f>N110</f>
        <v>0</v>
      </c>
      <c r="O111" s="120">
        <f t="shared" ref="O111:Q112" si="145">N111*1.12</f>
        <v>0</v>
      </c>
      <c r="P111" s="120">
        <f>P110</f>
        <v>0</v>
      </c>
      <c r="Q111" s="120">
        <f t="shared" si="145"/>
        <v>0</v>
      </c>
      <c r="R111" s="471"/>
      <c r="S111" s="377"/>
      <c r="T111" s="119"/>
      <c r="U111" s="119"/>
      <c r="V111" s="119"/>
      <c r="W111" s="119"/>
      <c r="X111" s="119"/>
      <c r="Y111" s="119"/>
      <c r="Z111" s="119"/>
      <c r="AA111" s="119"/>
      <c r="AB111" s="119"/>
      <c r="AC111" s="119"/>
      <c r="AD111" s="119"/>
      <c r="AE111" s="119"/>
      <c r="AF111" s="119">
        <f t="shared" si="141"/>
        <v>0</v>
      </c>
      <c r="AG111" s="119">
        <f t="shared" si="137"/>
        <v>0</v>
      </c>
      <c r="AH111" s="119">
        <f t="shared" si="137"/>
        <v>0</v>
      </c>
      <c r="AI111" s="119"/>
      <c r="AJ111" s="119"/>
      <c r="AK111" s="119"/>
      <c r="AL111" s="119"/>
      <c r="AM111" s="118"/>
      <c r="AN111" s="119"/>
      <c r="AO111" s="118">
        <f t="shared" si="138"/>
        <v>0</v>
      </c>
      <c r="AP111" s="118">
        <f t="shared" si="138"/>
        <v>0</v>
      </c>
      <c r="AQ111" s="118">
        <f t="shared" si="138"/>
        <v>0</v>
      </c>
      <c r="AR111" s="121" t="str">
        <f t="shared" si="28"/>
        <v/>
      </c>
      <c r="AS111" s="122"/>
      <c r="AT111" s="122"/>
      <c r="AU111" s="122"/>
      <c r="AV111" s="118"/>
      <c r="AW111" s="118">
        <f t="shared" si="144"/>
        <v>0</v>
      </c>
      <c r="AX111" s="118"/>
      <c r="AY111" s="118"/>
      <c r="AZ111" s="118"/>
      <c r="BA111" s="118"/>
      <c r="BB111" s="118"/>
      <c r="BC111" s="118"/>
      <c r="BD111" s="118"/>
      <c r="BE111" s="118"/>
      <c r="BF111" s="118"/>
      <c r="BG111" s="118"/>
      <c r="BH111" s="118"/>
      <c r="BI111" s="118"/>
      <c r="BJ111" s="118"/>
      <c r="BK111" s="118"/>
      <c r="BL111" s="118"/>
      <c r="BM111" s="459"/>
      <c r="BN111" s="123"/>
      <c r="BO111" s="123"/>
      <c r="BP111" s="123"/>
      <c r="BQ111" s="123"/>
      <c r="BR111" s="123"/>
      <c r="BS111" s="123"/>
      <c r="BT111" s="123"/>
      <c r="BW111" s="100"/>
      <c r="BX111" s="101"/>
    </row>
    <row r="112" spans="1:76" hidden="1" outlineLevel="1" x14ac:dyDescent="0.25">
      <c r="A112" s="356"/>
      <c r="B112" s="354"/>
      <c r="C112" s="124" t="s">
        <v>71</v>
      </c>
      <c r="D112" s="124" t="s">
        <v>73</v>
      </c>
      <c r="E112" s="125">
        <f>E111</f>
        <v>0</v>
      </c>
      <c r="F112" s="125">
        <f t="shared" si="139"/>
        <v>0</v>
      </c>
      <c r="G112" s="466"/>
      <c r="H112" s="378"/>
      <c r="I112" s="126">
        <f>I111</f>
        <v>0</v>
      </c>
      <c r="J112" s="119">
        <f t="shared" si="136"/>
        <v>0</v>
      </c>
      <c r="K112" s="469"/>
      <c r="L112" s="354"/>
      <c r="M112" s="455"/>
      <c r="N112" s="127">
        <f>N111</f>
        <v>0</v>
      </c>
      <c r="O112" s="127">
        <f t="shared" si="145"/>
        <v>0</v>
      </c>
      <c r="P112" s="127">
        <f>P111</f>
        <v>0</v>
      </c>
      <c r="Q112" s="127">
        <f t="shared" si="145"/>
        <v>0</v>
      </c>
      <c r="R112" s="472"/>
      <c r="S112" s="378"/>
      <c r="T112" s="126"/>
      <c r="U112" s="126"/>
      <c r="V112" s="126"/>
      <c r="W112" s="126"/>
      <c r="X112" s="126"/>
      <c r="Y112" s="126"/>
      <c r="Z112" s="126"/>
      <c r="AA112" s="126"/>
      <c r="AB112" s="126"/>
      <c r="AC112" s="126"/>
      <c r="AD112" s="126"/>
      <c r="AE112" s="126"/>
      <c r="AF112" s="119">
        <f t="shared" si="141"/>
        <v>0</v>
      </c>
      <c r="AG112" s="119">
        <f t="shared" si="137"/>
        <v>0</v>
      </c>
      <c r="AH112" s="119">
        <f t="shared" si="137"/>
        <v>0</v>
      </c>
      <c r="AI112" s="126"/>
      <c r="AJ112" s="126"/>
      <c r="AK112" s="126"/>
      <c r="AL112" s="126"/>
      <c r="AM112" s="125"/>
      <c r="AN112" s="126"/>
      <c r="AO112" s="125">
        <f t="shared" si="138"/>
        <v>0</v>
      </c>
      <c r="AP112" s="125">
        <f t="shared" si="138"/>
        <v>0</v>
      </c>
      <c r="AQ112" s="125">
        <f t="shared" si="138"/>
        <v>0</v>
      </c>
      <c r="AR112" s="128" t="str">
        <f t="shared" si="28"/>
        <v/>
      </c>
      <c r="AS112" s="129"/>
      <c r="AT112" s="129"/>
      <c r="AU112" s="129"/>
      <c r="AV112" s="125"/>
      <c r="AW112" s="125">
        <f t="shared" si="144"/>
        <v>0</v>
      </c>
      <c r="AX112" s="125"/>
      <c r="AY112" s="125"/>
      <c r="AZ112" s="125"/>
      <c r="BA112" s="125"/>
      <c r="BB112" s="125"/>
      <c r="BC112" s="125"/>
      <c r="BD112" s="125"/>
      <c r="BE112" s="125"/>
      <c r="BF112" s="125"/>
      <c r="BG112" s="125"/>
      <c r="BH112" s="125"/>
      <c r="BI112" s="125"/>
      <c r="BJ112" s="125"/>
      <c r="BK112" s="125"/>
      <c r="BL112" s="125"/>
      <c r="BM112" s="358"/>
      <c r="BN112" s="130"/>
      <c r="BO112" s="130"/>
      <c r="BP112" s="130"/>
      <c r="BQ112" s="130"/>
      <c r="BR112" s="130"/>
      <c r="BS112" s="130"/>
      <c r="BT112" s="130"/>
      <c r="BW112" s="25"/>
      <c r="BX112" s="26"/>
    </row>
    <row r="113" spans="1:76" s="97" customFormat="1" hidden="1" outlineLevel="1" collapsed="1" x14ac:dyDescent="0.25">
      <c r="A113" s="355"/>
      <c r="B113" s="353" t="s">
        <v>93</v>
      </c>
      <c r="C113" s="117" t="s">
        <v>69</v>
      </c>
      <c r="D113" s="117" t="s">
        <v>70</v>
      </c>
      <c r="E113" s="118"/>
      <c r="F113" s="118">
        <f t="shared" si="139"/>
        <v>0</v>
      </c>
      <c r="G113" s="464"/>
      <c r="H113" s="376"/>
      <c r="I113" s="119"/>
      <c r="J113" s="119">
        <f t="shared" si="136"/>
        <v>0</v>
      </c>
      <c r="K113" s="467"/>
      <c r="L113" s="353"/>
      <c r="M113" s="453" t="s">
        <v>96</v>
      </c>
      <c r="N113" s="120">
        <f t="shared" ref="N113:N118" si="146">O113/1.12</f>
        <v>0</v>
      </c>
      <c r="O113" s="120">
        <f>Q113</f>
        <v>0</v>
      </c>
      <c r="P113" s="120">
        <f t="shared" ref="P113:P118" si="147">Q113/1.12</f>
        <v>0</v>
      </c>
      <c r="Q113" s="120"/>
      <c r="R113" s="456"/>
      <c r="S113" s="376"/>
      <c r="T113" s="119"/>
      <c r="U113" s="119"/>
      <c r="V113" s="119"/>
      <c r="W113" s="119"/>
      <c r="X113" s="119"/>
      <c r="Y113" s="119"/>
      <c r="Z113" s="119"/>
      <c r="AA113" s="119">
        <f>Z113*1.12</f>
        <v>0</v>
      </c>
      <c r="AB113" s="119"/>
      <c r="AC113" s="161"/>
      <c r="AD113" s="118">
        <f t="shared" ref="AD113:AD118" si="148">AC113*1.12</f>
        <v>0</v>
      </c>
      <c r="AE113" s="161"/>
      <c r="AF113" s="119">
        <f t="shared" si="141"/>
        <v>0</v>
      </c>
      <c r="AG113" s="119">
        <f t="shared" si="137"/>
        <v>0</v>
      </c>
      <c r="AH113" s="119">
        <f t="shared" si="137"/>
        <v>0</v>
      </c>
      <c r="AI113" s="119"/>
      <c r="AJ113" s="119">
        <f>AI113*1.12</f>
        <v>0</v>
      </c>
      <c r="AK113" s="119"/>
      <c r="AL113" s="161">
        <f>ROUND(13466.28113*AN113,0)</f>
        <v>0</v>
      </c>
      <c r="AM113" s="118">
        <f t="shared" ref="AM113:AM118" si="149">AL113*1.12</f>
        <v>0</v>
      </c>
      <c r="AN113" s="161"/>
      <c r="AO113" s="118">
        <f>AL113-AI113</f>
        <v>0</v>
      </c>
      <c r="AP113" s="118">
        <f t="shared" si="138"/>
        <v>0</v>
      </c>
      <c r="AQ113" s="118">
        <f t="shared" si="138"/>
        <v>0</v>
      </c>
      <c r="AR113" s="121" t="str">
        <f t="shared" si="28"/>
        <v/>
      </c>
      <c r="AS113" s="122"/>
      <c r="AT113" s="122"/>
      <c r="AU113" s="122"/>
      <c r="AV113" s="118">
        <f>ROUND(13461.56958*AX113,0)</f>
        <v>12371182</v>
      </c>
      <c r="AW113" s="118">
        <f>AV113*1.12</f>
        <v>13855723.840000002</v>
      </c>
      <c r="AX113" s="118">
        <v>919</v>
      </c>
      <c r="AY113" s="118"/>
      <c r="AZ113" s="118"/>
      <c r="BA113" s="118"/>
      <c r="BB113" s="118"/>
      <c r="BC113" s="118">
        <f>AO113-BL113-BF113</f>
        <v>0</v>
      </c>
      <c r="BD113" s="118"/>
      <c r="BE113" s="118"/>
      <c r="BF113" s="118"/>
      <c r="BG113" s="118"/>
      <c r="BH113" s="118"/>
      <c r="BI113" s="118"/>
      <c r="BJ113" s="118"/>
      <c r="BK113" s="118"/>
      <c r="BL113" s="118"/>
      <c r="BM113" s="357" t="s">
        <v>101</v>
      </c>
      <c r="BN113" s="123"/>
      <c r="BO113" s="123"/>
      <c r="BP113" s="123"/>
      <c r="BQ113" s="123"/>
      <c r="BR113" s="123"/>
      <c r="BS113" s="123"/>
      <c r="BT113" s="123"/>
      <c r="BW113" s="100"/>
      <c r="BX113" s="101"/>
    </row>
    <row r="114" spans="1:76" s="97" customFormat="1" hidden="1" outlineLevel="1" x14ac:dyDescent="0.25">
      <c r="A114" s="416"/>
      <c r="B114" s="375"/>
      <c r="C114" s="117" t="s">
        <v>71</v>
      </c>
      <c r="D114" s="117" t="s">
        <v>72</v>
      </c>
      <c r="E114" s="118"/>
      <c r="F114" s="118">
        <f t="shared" si="139"/>
        <v>0</v>
      </c>
      <c r="G114" s="465"/>
      <c r="H114" s="377"/>
      <c r="I114" s="119"/>
      <c r="J114" s="119">
        <f t="shared" si="136"/>
        <v>0</v>
      </c>
      <c r="K114" s="468"/>
      <c r="L114" s="375"/>
      <c r="M114" s="454"/>
      <c r="N114" s="120">
        <f t="shared" si="146"/>
        <v>0</v>
      </c>
      <c r="O114" s="120">
        <f>O113</f>
        <v>0</v>
      </c>
      <c r="P114" s="120">
        <f t="shared" si="147"/>
        <v>0</v>
      </c>
      <c r="Q114" s="120">
        <f>Q113</f>
        <v>0</v>
      </c>
      <c r="R114" s="457"/>
      <c r="S114" s="377"/>
      <c r="T114" s="119"/>
      <c r="U114" s="119"/>
      <c r="V114" s="119"/>
      <c r="W114" s="119"/>
      <c r="X114" s="119"/>
      <c r="Y114" s="119"/>
      <c r="Z114" s="119"/>
      <c r="AA114" s="119">
        <f>Z114*1.12</f>
        <v>0</v>
      </c>
      <c r="AB114" s="119"/>
      <c r="AC114" s="119"/>
      <c r="AD114" s="118">
        <f t="shared" si="148"/>
        <v>0</v>
      </c>
      <c r="AE114" s="119"/>
      <c r="AF114" s="119">
        <f t="shared" si="141"/>
        <v>0</v>
      </c>
      <c r="AG114" s="119">
        <f t="shared" si="137"/>
        <v>0</v>
      </c>
      <c r="AH114" s="119">
        <f t="shared" si="137"/>
        <v>0</v>
      </c>
      <c r="AI114" s="119"/>
      <c r="AJ114" s="119">
        <f t="shared" ref="AJ114:AJ115" si="150">AI114*1.12</f>
        <v>0</v>
      </c>
      <c r="AK114" s="119"/>
      <c r="AL114" s="119"/>
      <c r="AM114" s="118">
        <f t="shared" si="149"/>
        <v>0</v>
      </c>
      <c r="AN114" s="119"/>
      <c r="AO114" s="118">
        <f t="shared" si="138"/>
        <v>0</v>
      </c>
      <c r="AP114" s="118">
        <f t="shared" si="138"/>
        <v>0</v>
      </c>
      <c r="AQ114" s="118">
        <f t="shared" si="138"/>
        <v>0</v>
      </c>
      <c r="AR114" s="121" t="str">
        <f t="shared" si="28"/>
        <v/>
      </c>
      <c r="AS114" s="122"/>
      <c r="AT114" s="178"/>
      <c r="AU114" s="122">
        <f>AL114-AS114-AT114</f>
        <v>0</v>
      </c>
      <c r="AV114" s="118">
        <f>I114</f>
        <v>0</v>
      </c>
      <c r="AW114" s="118">
        <f t="shared" ref="AW114:AW115" si="151">AV114*1.12</f>
        <v>0</v>
      </c>
      <c r="AX114" s="118"/>
      <c r="AY114" s="118"/>
      <c r="AZ114" s="118"/>
      <c r="BA114" s="118"/>
      <c r="BB114" s="118"/>
      <c r="BC114" s="118"/>
      <c r="BD114" s="118"/>
      <c r="BE114" s="118"/>
      <c r="BF114" s="118"/>
      <c r="BG114" s="118"/>
      <c r="BH114" s="118"/>
      <c r="BI114" s="118"/>
      <c r="BJ114" s="118"/>
      <c r="BK114" s="118"/>
      <c r="BL114" s="118"/>
      <c r="BM114" s="459"/>
      <c r="BN114" s="123"/>
      <c r="BO114" s="123"/>
      <c r="BP114" s="123"/>
      <c r="BQ114" s="123"/>
      <c r="BR114" s="123"/>
      <c r="BS114" s="123"/>
      <c r="BT114" s="123"/>
      <c r="BW114" s="100"/>
      <c r="BX114" s="101"/>
    </row>
    <row r="115" spans="1:76" hidden="1" outlineLevel="1" x14ac:dyDescent="0.25">
      <c r="A115" s="356"/>
      <c r="B115" s="354"/>
      <c r="C115" s="124" t="s">
        <v>71</v>
      </c>
      <c r="D115" s="124" t="s">
        <v>74</v>
      </c>
      <c r="E115" s="125">
        <f>E114</f>
        <v>0</v>
      </c>
      <c r="F115" s="125">
        <f t="shared" si="139"/>
        <v>0</v>
      </c>
      <c r="G115" s="466"/>
      <c r="H115" s="378"/>
      <c r="I115" s="126">
        <f>I114</f>
        <v>0</v>
      </c>
      <c r="J115" s="126">
        <f t="shared" si="136"/>
        <v>0</v>
      </c>
      <c r="K115" s="469"/>
      <c r="L115" s="354"/>
      <c r="M115" s="455"/>
      <c r="N115" s="127">
        <f t="shared" si="146"/>
        <v>0</v>
      </c>
      <c r="O115" s="127">
        <f>O114</f>
        <v>0</v>
      </c>
      <c r="P115" s="127">
        <f t="shared" si="147"/>
        <v>0</v>
      </c>
      <c r="Q115" s="127">
        <f>Q114</f>
        <v>0</v>
      </c>
      <c r="R115" s="458"/>
      <c r="S115" s="378"/>
      <c r="T115" s="126"/>
      <c r="U115" s="126"/>
      <c r="V115" s="126"/>
      <c r="W115" s="126"/>
      <c r="X115" s="126"/>
      <c r="Y115" s="126"/>
      <c r="Z115" s="126">
        <f>Z114</f>
        <v>0</v>
      </c>
      <c r="AA115" s="126">
        <f>Z115*1.12</f>
        <v>0</v>
      </c>
      <c r="AB115" s="126"/>
      <c r="AC115" s="126">
        <f>AC114</f>
        <v>0</v>
      </c>
      <c r="AD115" s="125">
        <f t="shared" si="148"/>
        <v>0</v>
      </c>
      <c r="AE115" s="126"/>
      <c r="AF115" s="126">
        <f t="shared" si="141"/>
        <v>0</v>
      </c>
      <c r="AG115" s="126">
        <f t="shared" si="137"/>
        <v>0</v>
      </c>
      <c r="AH115" s="126">
        <f t="shared" si="137"/>
        <v>0</v>
      </c>
      <c r="AI115" s="126">
        <f>AI114</f>
        <v>0</v>
      </c>
      <c r="AJ115" s="126">
        <f t="shared" si="150"/>
        <v>0</v>
      </c>
      <c r="AK115" s="126"/>
      <c r="AL115" s="126">
        <f>AL114</f>
        <v>0</v>
      </c>
      <c r="AM115" s="125">
        <f t="shared" si="149"/>
        <v>0</v>
      </c>
      <c r="AN115" s="126"/>
      <c r="AO115" s="125">
        <f t="shared" si="138"/>
        <v>0</v>
      </c>
      <c r="AP115" s="125">
        <f t="shared" si="138"/>
        <v>0</v>
      </c>
      <c r="AQ115" s="125">
        <f t="shared" si="138"/>
        <v>0</v>
      </c>
      <c r="AR115" s="128" t="str">
        <f t="shared" si="28"/>
        <v/>
      </c>
      <c r="AS115" s="129">
        <f>AS114</f>
        <v>0</v>
      </c>
      <c r="AT115" s="129">
        <f t="shared" ref="AT115:AU115" si="152">AT114</f>
        <v>0</v>
      </c>
      <c r="AU115" s="129">
        <f t="shared" si="152"/>
        <v>0</v>
      </c>
      <c r="AV115" s="125">
        <f>AV114</f>
        <v>0</v>
      </c>
      <c r="AW115" s="125">
        <f t="shared" si="151"/>
        <v>0</v>
      </c>
      <c r="AX115" s="125"/>
      <c r="AY115" s="125"/>
      <c r="AZ115" s="125"/>
      <c r="BA115" s="125"/>
      <c r="BB115" s="125"/>
      <c r="BC115" s="125"/>
      <c r="BD115" s="125"/>
      <c r="BE115" s="125"/>
      <c r="BF115" s="125"/>
      <c r="BG115" s="125"/>
      <c r="BH115" s="125"/>
      <c r="BI115" s="125"/>
      <c r="BJ115" s="125"/>
      <c r="BK115" s="125"/>
      <c r="BL115" s="125"/>
      <c r="BM115" s="358"/>
      <c r="BN115" s="130"/>
      <c r="BO115" s="130"/>
      <c r="BP115" s="130"/>
      <c r="BQ115" s="130"/>
      <c r="BR115" s="130"/>
      <c r="BS115" s="130"/>
      <c r="BT115" s="130"/>
      <c r="BW115" s="25"/>
      <c r="BX115" s="26"/>
    </row>
    <row r="116" spans="1:76" s="97" customFormat="1" ht="21.75" hidden="1" customHeight="1" outlineLevel="1" x14ac:dyDescent="0.25">
      <c r="A116" s="355"/>
      <c r="B116" s="353" t="s">
        <v>93</v>
      </c>
      <c r="C116" s="117" t="s">
        <v>69</v>
      </c>
      <c r="D116" s="117" t="s">
        <v>70</v>
      </c>
      <c r="E116" s="118"/>
      <c r="F116" s="118">
        <f t="shared" si="139"/>
        <v>0</v>
      </c>
      <c r="G116" s="464"/>
      <c r="H116" s="376"/>
      <c r="I116" s="119"/>
      <c r="J116" s="119">
        <f t="shared" si="136"/>
        <v>0</v>
      </c>
      <c r="K116" s="467"/>
      <c r="L116" s="353"/>
      <c r="M116" s="453" t="s">
        <v>96</v>
      </c>
      <c r="N116" s="120">
        <f t="shared" si="146"/>
        <v>0</v>
      </c>
      <c r="O116" s="120">
        <f>Q116</f>
        <v>0</v>
      </c>
      <c r="P116" s="120">
        <f t="shared" si="147"/>
        <v>0</v>
      </c>
      <c r="Q116" s="120"/>
      <c r="R116" s="456"/>
      <c r="S116" s="376"/>
      <c r="T116" s="119"/>
      <c r="U116" s="119"/>
      <c r="V116" s="119"/>
      <c r="W116" s="119"/>
      <c r="X116" s="119"/>
      <c r="Y116" s="119"/>
      <c r="Z116" s="119"/>
      <c r="AA116" s="119"/>
      <c r="AB116" s="119"/>
      <c r="AC116" s="119"/>
      <c r="AD116" s="118">
        <f t="shared" si="148"/>
        <v>0</v>
      </c>
      <c r="AE116" s="119"/>
      <c r="AF116" s="119">
        <f t="shared" si="141"/>
        <v>0</v>
      </c>
      <c r="AG116" s="119">
        <f t="shared" si="137"/>
        <v>0</v>
      </c>
      <c r="AH116" s="119">
        <f t="shared" si="137"/>
        <v>0</v>
      </c>
      <c r="AI116" s="119"/>
      <c r="AJ116" s="119">
        <f>AI116*1.12</f>
        <v>0</v>
      </c>
      <c r="AK116" s="119"/>
      <c r="AL116" s="119">
        <f>ROUND(AN116*15300,0)</f>
        <v>0</v>
      </c>
      <c r="AM116" s="118">
        <f t="shared" si="149"/>
        <v>0</v>
      </c>
      <c r="AN116" s="119"/>
      <c r="AO116" s="118">
        <f t="shared" si="138"/>
        <v>0</v>
      </c>
      <c r="AP116" s="118">
        <f t="shared" si="138"/>
        <v>0</v>
      </c>
      <c r="AQ116" s="118">
        <f t="shared" si="138"/>
        <v>0</v>
      </c>
      <c r="AR116" s="121" t="str">
        <f t="shared" si="28"/>
        <v/>
      </c>
      <c r="AS116" s="122"/>
      <c r="AT116" s="122"/>
      <c r="AU116" s="122"/>
      <c r="AV116" s="118">
        <f>ROUND(15300*AX116,0)</f>
        <v>13448700</v>
      </c>
      <c r="AW116" s="118">
        <f>AV116*1.12</f>
        <v>15062544.000000002</v>
      </c>
      <c r="AX116" s="118">
        <v>879</v>
      </c>
      <c r="AY116" s="118"/>
      <c r="AZ116" s="118"/>
      <c r="BA116" s="118"/>
      <c r="BB116" s="118"/>
      <c r="BC116" s="118"/>
      <c r="BD116" s="118"/>
      <c r="BE116" s="118"/>
      <c r="BF116" s="118"/>
      <c r="BG116" s="118"/>
      <c r="BH116" s="118"/>
      <c r="BI116" s="118"/>
      <c r="BJ116" s="118"/>
      <c r="BK116" s="118"/>
      <c r="BL116" s="118"/>
      <c r="BM116" s="357" t="s">
        <v>101</v>
      </c>
      <c r="BN116" s="123"/>
      <c r="BO116" s="123"/>
      <c r="BP116" s="123"/>
      <c r="BQ116" s="123"/>
      <c r="BR116" s="123"/>
      <c r="BS116" s="123"/>
      <c r="BT116" s="123"/>
      <c r="BW116" s="100"/>
      <c r="BX116" s="101"/>
    </row>
    <row r="117" spans="1:76" s="97" customFormat="1" ht="21.75" hidden="1" customHeight="1" outlineLevel="1" x14ac:dyDescent="0.25">
      <c r="A117" s="416"/>
      <c r="B117" s="375"/>
      <c r="C117" s="117" t="s">
        <v>71</v>
      </c>
      <c r="D117" s="117" t="s">
        <v>72</v>
      </c>
      <c r="E117" s="118"/>
      <c r="F117" s="118">
        <f t="shared" si="139"/>
        <v>0</v>
      </c>
      <c r="G117" s="465"/>
      <c r="H117" s="377"/>
      <c r="I117" s="119"/>
      <c r="J117" s="119">
        <f t="shared" si="136"/>
        <v>0</v>
      </c>
      <c r="K117" s="468"/>
      <c r="L117" s="375"/>
      <c r="M117" s="454"/>
      <c r="N117" s="120">
        <f t="shared" si="146"/>
        <v>0</v>
      </c>
      <c r="O117" s="120">
        <f>O116</f>
        <v>0</v>
      </c>
      <c r="P117" s="120">
        <f t="shared" si="147"/>
        <v>0</v>
      </c>
      <c r="Q117" s="120">
        <f>Q116</f>
        <v>0</v>
      </c>
      <c r="R117" s="457"/>
      <c r="S117" s="377"/>
      <c r="T117" s="119"/>
      <c r="U117" s="119"/>
      <c r="V117" s="119"/>
      <c r="W117" s="119"/>
      <c r="X117" s="119"/>
      <c r="Y117" s="119"/>
      <c r="Z117" s="119"/>
      <c r="AA117" s="119"/>
      <c r="AB117" s="119"/>
      <c r="AC117" s="119"/>
      <c r="AD117" s="40">
        <f t="shared" si="148"/>
        <v>0</v>
      </c>
      <c r="AE117" s="119"/>
      <c r="AF117" s="119">
        <f t="shared" si="141"/>
        <v>0</v>
      </c>
      <c r="AG117" s="119">
        <f t="shared" si="137"/>
        <v>0</v>
      </c>
      <c r="AH117" s="119">
        <f t="shared" si="137"/>
        <v>0</v>
      </c>
      <c r="AI117" s="119"/>
      <c r="AJ117" s="119">
        <f t="shared" ref="AJ117:AJ118" si="153">AI117*1.12</f>
        <v>0</v>
      </c>
      <c r="AK117" s="119"/>
      <c r="AL117" s="119"/>
      <c r="AM117" s="118">
        <f t="shared" si="149"/>
        <v>0</v>
      </c>
      <c r="AN117" s="119"/>
      <c r="AO117" s="118">
        <f t="shared" si="138"/>
        <v>0</v>
      </c>
      <c r="AP117" s="118">
        <f t="shared" si="138"/>
        <v>0</v>
      </c>
      <c r="AQ117" s="118">
        <f t="shared" si="138"/>
        <v>0</v>
      </c>
      <c r="AR117" s="121" t="str">
        <f t="shared" si="28"/>
        <v/>
      </c>
      <c r="AS117" s="122"/>
      <c r="AT117" s="122"/>
      <c r="AU117" s="122">
        <f>AL117</f>
        <v>0</v>
      </c>
      <c r="AV117" s="165">
        <f>(1370000/1.12+1519099.9607/1.12)+AV116*50%/12*10.5</f>
        <v>8463359.7863392867</v>
      </c>
      <c r="AW117" s="118">
        <f t="shared" ref="AW117:AW118" si="154">AV117*1.12</f>
        <v>9478962.9607000016</v>
      </c>
      <c r="AX117" s="118"/>
      <c r="AY117" s="118"/>
      <c r="AZ117" s="118"/>
      <c r="BA117" s="118"/>
      <c r="BB117" s="118"/>
      <c r="BC117" s="118"/>
      <c r="BD117" s="118"/>
      <c r="BE117" s="118"/>
      <c r="BF117" s="118"/>
      <c r="BG117" s="118"/>
      <c r="BH117" s="118"/>
      <c r="BI117" s="118"/>
      <c r="BJ117" s="118"/>
      <c r="BK117" s="118"/>
      <c r="BL117" s="118"/>
      <c r="BM117" s="459"/>
      <c r="BN117" s="123"/>
      <c r="BO117" s="123"/>
      <c r="BP117" s="123">
        <f>BP118</f>
        <v>5678900.0392899998</v>
      </c>
      <c r="BQ117" s="123"/>
      <c r="BR117" s="123"/>
      <c r="BS117" s="123"/>
      <c r="BT117" s="123"/>
      <c r="BW117" s="100"/>
      <c r="BX117" s="101"/>
    </row>
    <row r="118" spans="1:76" ht="21.75" hidden="1" customHeight="1" outlineLevel="1" x14ac:dyDescent="0.25">
      <c r="A118" s="356"/>
      <c r="B118" s="354"/>
      <c r="C118" s="124" t="s">
        <v>71</v>
      </c>
      <c r="D118" s="124" t="s">
        <v>73</v>
      </c>
      <c r="E118" s="125">
        <f>E117</f>
        <v>0</v>
      </c>
      <c r="F118" s="125">
        <f t="shared" si="139"/>
        <v>0</v>
      </c>
      <c r="G118" s="466"/>
      <c r="H118" s="378"/>
      <c r="I118" s="126">
        <f>I117</f>
        <v>0</v>
      </c>
      <c r="J118" s="126">
        <f t="shared" si="136"/>
        <v>0</v>
      </c>
      <c r="K118" s="469"/>
      <c r="L118" s="354"/>
      <c r="M118" s="455"/>
      <c r="N118" s="127">
        <f t="shared" si="146"/>
        <v>0</v>
      </c>
      <c r="O118" s="127">
        <f>O117</f>
        <v>0</v>
      </c>
      <c r="P118" s="127">
        <f t="shared" si="147"/>
        <v>0</v>
      </c>
      <c r="Q118" s="127">
        <f>Q117</f>
        <v>0</v>
      </c>
      <c r="R118" s="458"/>
      <c r="S118" s="378"/>
      <c r="T118" s="126"/>
      <c r="U118" s="126"/>
      <c r="V118" s="126"/>
      <c r="W118" s="126"/>
      <c r="X118" s="126"/>
      <c r="Y118" s="126"/>
      <c r="Z118" s="126"/>
      <c r="AA118" s="126"/>
      <c r="AB118" s="126"/>
      <c r="AC118" s="126">
        <f>AC117</f>
        <v>0</v>
      </c>
      <c r="AD118" s="125">
        <f t="shared" si="148"/>
        <v>0</v>
      </c>
      <c r="AE118" s="126"/>
      <c r="AF118" s="126">
        <f t="shared" si="141"/>
        <v>0</v>
      </c>
      <c r="AG118" s="126">
        <f t="shared" si="137"/>
        <v>0</v>
      </c>
      <c r="AH118" s="126">
        <f t="shared" si="137"/>
        <v>0</v>
      </c>
      <c r="AI118" s="126">
        <f>AI117</f>
        <v>0</v>
      </c>
      <c r="AJ118" s="126">
        <f t="shared" si="153"/>
        <v>0</v>
      </c>
      <c r="AK118" s="126"/>
      <c r="AL118" s="126">
        <f>AL117</f>
        <v>0</v>
      </c>
      <c r="AM118" s="125">
        <f t="shared" si="149"/>
        <v>0</v>
      </c>
      <c r="AN118" s="126"/>
      <c r="AO118" s="125">
        <f t="shared" si="138"/>
        <v>0</v>
      </c>
      <c r="AP118" s="125">
        <f t="shared" si="138"/>
        <v>0</v>
      </c>
      <c r="AQ118" s="125">
        <f t="shared" si="138"/>
        <v>0</v>
      </c>
      <c r="AR118" s="128" t="str">
        <f t="shared" si="28"/>
        <v/>
      </c>
      <c r="AS118" s="129"/>
      <c r="AT118" s="129"/>
      <c r="AU118" s="129">
        <f>AU117</f>
        <v>0</v>
      </c>
      <c r="AV118" s="125">
        <f>AV117</f>
        <v>8463359.7863392867</v>
      </c>
      <c r="AW118" s="125">
        <f t="shared" si="154"/>
        <v>9478962.9607000016</v>
      </c>
      <c r="AX118" s="125"/>
      <c r="AY118" s="125"/>
      <c r="AZ118" s="125"/>
      <c r="BA118" s="125"/>
      <c r="BB118" s="125"/>
      <c r="BC118" s="125"/>
      <c r="BD118" s="125"/>
      <c r="BE118" s="125"/>
      <c r="BF118" s="125"/>
      <c r="BG118" s="125"/>
      <c r="BH118" s="125"/>
      <c r="BI118" s="125"/>
      <c r="BJ118" s="125"/>
      <c r="BK118" s="125"/>
      <c r="BL118" s="125"/>
      <c r="BM118" s="358"/>
      <c r="BN118" s="130"/>
      <c r="BO118" s="130"/>
      <c r="BP118" s="179">
        <f>5678900039.29/1000</f>
        <v>5678900.0392899998</v>
      </c>
      <c r="BQ118" s="130"/>
      <c r="BR118" s="130"/>
      <c r="BS118" s="130"/>
      <c r="BT118" s="130"/>
      <c r="BW118" s="25"/>
      <c r="BX118" s="26"/>
    </row>
    <row r="119" spans="1:76" collapsed="1" x14ac:dyDescent="0.25">
      <c r="A119" s="460"/>
      <c r="B119" s="351" t="s">
        <v>102</v>
      </c>
      <c r="C119" s="84" t="s">
        <v>69</v>
      </c>
      <c r="D119" s="84" t="s">
        <v>70</v>
      </c>
      <c r="E119" s="87">
        <f>E122+E127+E153+E176+E343+E196+E204+E233+E241+E261+E281+E292+E303+E320</f>
        <v>34052553</v>
      </c>
      <c r="F119" s="87">
        <f>F122+F127+F153+F176+F343+F196+F204+F233+F241+F261+F281+F292+F303+F320</f>
        <v>38138859.360000014</v>
      </c>
      <c r="G119" s="86"/>
      <c r="H119" s="87">
        <f>H122+H127+H153+H176+H343+H196+H204+H233+H241+H261+H281+H292+H303+H320</f>
        <v>2934</v>
      </c>
      <c r="I119" s="87">
        <f>I122+I127+I153+I176+I343+I196+I204+I233+I241+I261+I281+I292+I303+I320</f>
        <v>17152628</v>
      </c>
      <c r="J119" s="87">
        <f>J122+J127+J153+J176+J343+J196+J204+J233+J241+J261+J281+J292+J303+J320</f>
        <v>19210943.360000003</v>
      </c>
      <c r="K119" s="88"/>
      <c r="L119" s="89"/>
      <c r="M119" s="90"/>
      <c r="N119" s="91">
        <f t="shared" ref="N119:Q120" si="155">N122+N127+N153+N176+N343+N196+N204+N233+N241+N261+N281+N292+N303+N320</f>
        <v>17294313678.095715</v>
      </c>
      <c r="O119" s="91">
        <f t="shared" si="155"/>
        <v>19336801606.539993</v>
      </c>
      <c r="P119" s="91">
        <f t="shared" si="155"/>
        <v>18467975921.135715</v>
      </c>
      <c r="Q119" s="91">
        <f t="shared" si="155"/>
        <v>20510463849.579994</v>
      </c>
      <c r="R119" s="92"/>
      <c r="S119" s="87">
        <f>S122+S127+S153+S176+S343+S196+S204+S233+S241+S320+S261+S281+S292+S303</f>
        <v>9381</v>
      </c>
      <c r="T119" s="87" t="e">
        <f>T122+T127+#REF!+T153+T176+T343+T196+T204+T233+T241+#REF!+T261+T281+T292+T303</f>
        <v>#REF!</v>
      </c>
      <c r="U119" s="87" t="e">
        <f>U122+U127+#REF!+U153+U176+U343+U196+U204+U233+U241+#REF!+U261+U281+U292+U303</f>
        <v>#REF!</v>
      </c>
      <c r="V119" s="87" t="e">
        <f>V122+V127+#REF!+V153+V176+V343+V196+V204+V233+V241+#REF!+V261+V281+V292+V303</f>
        <v>#REF!</v>
      </c>
      <c r="W119" s="87" t="e">
        <f>W122+W127+#REF!+W153+W176+W343+W196+W204+W233+W241+#REF!+W261+W281+W292+W303</f>
        <v>#REF!</v>
      </c>
      <c r="X119" s="87" t="e">
        <f>X122+X127+#REF!+X153+X176+X343+X196+X204+X233+X241+#REF!+X261+X281+X292+X303</f>
        <v>#REF!</v>
      </c>
      <c r="Y119" s="87" t="e">
        <f>Y122+Y127+#REF!+Y153+Y176+Y343+Y196+Y204+Y233+Y241+#REF!+Y261+Y281+Y292+Y303</f>
        <v>#REF!</v>
      </c>
      <c r="Z119" s="87">
        <f t="shared" ref="Z119:AQ119" si="156">Z122+Z127+Z153+Z176+Z343+Z196+Z204+Z233+Z241+Z261+Z281+Z292+Z303+Z320</f>
        <v>0</v>
      </c>
      <c r="AA119" s="87">
        <f t="shared" si="156"/>
        <v>0</v>
      </c>
      <c r="AB119" s="87">
        <f t="shared" si="156"/>
        <v>0</v>
      </c>
      <c r="AC119" s="87">
        <f t="shared" si="156"/>
        <v>11036700</v>
      </c>
      <c r="AD119" s="87">
        <f t="shared" si="156"/>
        <v>12361104</v>
      </c>
      <c r="AE119" s="87">
        <f t="shared" si="156"/>
        <v>5166</v>
      </c>
      <c r="AF119" s="87">
        <f t="shared" si="156"/>
        <v>11036700</v>
      </c>
      <c r="AG119" s="87">
        <f t="shared" si="156"/>
        <v>12361104</v>
      </c>
      <c r="AH119" s="87">
        <f t="shared" si="156"/>
        <v>5166</v>
      </c>
      <c r="AI119" s="87">
        <f t="shared" si="156"/>
        <v>17152628</v>
      </c>
      <c r="AJ119" s="87">
        <f t="shared" si="156"/>
        <v>19210943.360000003</v>
      </c>
      <c r="AK119" s="87">
        <f t="shared" si="156"/>
        <v>2934</v>
      </c>
      <c r="AL119" s="87">
        <f t="shared" si="156"/>
        <v>8358098</v>
      </c>
      <c r="AM119" s="87">
        <f t="shared" si="156"/>
        <v>9361069.7600000016</v>
      </c>
      <c r="AN119" s="87">
        <f t="shared" si="156"/>
        <v>2931</v>
      </c>
      <c r="AO119" s="87">
        <f t="shared" si="156"/>
        <v>-8794530.0000000019</v>
      </c>
      <c r="AP119" s="87">
        <f t="shared" si="156"/>
        <v>-9849873.5999999996</v>
      </c>
      <c r="AQ119" s="87">
        <f t="shared" si="156"/>
        <v>-3</v>
      </c>
      <c r="AR119" s="93">
        <f>IF(AI119=0,"",AL119/AI119)</f>
        <v>0.48727798445812504</v>
      </c>
      <c r="AS119" s="87">
        <f t="shared" ref="AS119:BL120" si="157">AS122+AS127+AS153+AS176+AS343+AS196+AS204+AS233+AS241+AS261+AS281+AS292+AS303+AS320</f>
        <v>0</v>
      </c>
      <c r="AT119" s="87">
        <f t="shared" si="157"/>
        <v>0</v>
      </c>
      <c r="AU119" s="87">
        <f t="shared" si="157"/>
        <v>0</v>
      </c>
      <c r="AV119" s="87">
        <f t="shared" si="157"/>
        <v>16740951.265714286</v>
      </c>
      <c r="AW119" s="87">
        <f t="shared" si="157"/>
        <v>18749865.417600002</v>
      </c>
      <c r="AX119" s="87">
        <f t="shared" si="157"/>
        <v>4832</v>
      </c>
      <c r="AY119" s="87">
        <f t="shared" si="157"/>
        <v>0</v>
      </c>
      <c r="AZ119" s="87">
        <f t="shared" si="157"/>
        <v>-8850611.200000003</v>
      </c>
      <c r="BA119" s="87">
        <f t="shared" si="157"/>
        <v>0</v>
      </c>
      <c r="BB119" s="87">
        <f t="shared" si="157"/>
        <v>0</v>
      </c>
      <c r="BC119" s="87">
        <f t="shared" si="157"/>
        <v>0</v>
      </c>
      <c r="BD119" s="87">
        <f t="shared" si="157"/>
        <v>0</v>
      </c>
      <c r="BE119" s="87">
        <f t="shared" si="157"/>
        <v>0</v>
      </c>
      <c r="BF119" s="87">
        <f t="shared" si="157"/>
        <v>0</v>
      </c>
      <c r="BG119" s="87">
        <f t="shared" si="157"/>
        <v>0</v>
      </c>
      <c r="BH119" s="87">
        <f t="shared" si="157"/>
        <v>0</v>
      </c>
      <c r="BI119" s="87">
        <f t="shared" si="157"/>
        <v>0</v>
      </c>
      <c r="BJ119" s="87">
        <f t="shared" si="157"/>
        <v>0</v>
      </c>
      <c r="BK119" s="87">
        <f t="shared" si="157"/>
        <v>0</v>
      </c>
      <c r="BL119" s="87">
        <f t="shared" si="157"/>
        <v>56081.199999999983</v>
      </c>
      <c r="BM119" s="461" t="s">
        <v>103</v>
      </c>
      <c r="BN119" s="96" t="e">
        <f>#REF!+BN129+#REF!+BN178+#REF!+#REF!+#REF!</f>
        <v>#REF!</v>
      </c>
      <c r="BO119" s="87" t="e">
        <f>#REF!+BO127+#REF!+BO176+BO343+#REF!+BO122+BO153</f>
        <v>#REF!</v>
      </c>
      <c r="BP119" s="87" t="e">
        <f>#REF!+BP127+#REF!+BP176+BP343+#REF!+BP122+BP153</f>
        <v>#REF!</v>
      </c>
      <c r="BQ119" s="87" t="e">
        <f>#REF!+BQ127+#REF!+BQ176+BQ343+#REF!+BQ122+BQ153</f>
        <v>#REF!</v>
      </c>
      <c r="BR119" s="96"/>
      <c r="BS119" s="96"/>
      <c r="BT119" s="96"/>
      <c r="BW119" s="98">
        <f>SUM(AY119:BL119)</f>
        <v>-8794530.0000000037</v>
      </c>
      <c r="BX119" s="99">
        <f>AO119-BW119</f>
        <v>0</v>
      </c>
    </row>
    <row r="120" spans="1:76" x14ac:dyDescent="0.25">
      <c r="A120" s="460"/>
      <c r="B120" s="351"/>
      <c r="C120" s="84" t="s">
        <v>71</v>
      </c>
      <c r="D120" s="84" t="s">
        <v>72</v>
      </c>
      <c r="E120" s="87">
        <f>E123+E128+E154+E177+E344+E197+E205+E234+E242+E262+E282+E293+E304+E321</f>
        <v>33923348</v>
      </c>
      <c r="F120" s="87">
        <f>F123+F128+F154+F177+F344+F197+F205+F234+F242+F262+F282+F293+F304+F321</f>
        <v>37994149.760000013</v>
      </c>
      <c r="G120" s="86"/>
      <c r="H120" s="87"/>
      <c r="I120" s="87">
        <f>I123+I128+I154+I177+I344+I197+I205+I234+I242+I262+I282+I293+I304+I321</f>
        <v>16538898.321428571</v>
      </c>
      <c r="J120" s="87">
        <f>J123+J128+J154+J177+J344+J197+J205+J234+J242+J262+J282+J293+J304+J321</f>
        <v>18523566.120000001</v>
      </c>
      <c r="K120" s="88"/>
      <c r="L120" s="89"/>
      <c r="M120" s="90"/>
      <c r="N120" s="91">
        <f t="shared" si="155"/>
        <v>17294313678.095715</v>
      </c>
      <c r="O120" s="91">
        <f t="shared" si="155"/>
        <v>19336801606.539993</v>
      </c>
      <c r="P120" s="91">
        <f t="shared" si="155"/>
        <v>18467975921.135715</v>
      </c>
      <c r="Q120" s="91">
        <f t="shared" si="155"/>
        <v>20510463849.579994</v>
      </c>
      <c r="R120" s="92"/>
      <c r="S120" s="87"/>
      <c r="T120" s="87" t="e">
        <f>T123+T128+#REF!+T154+T177+T344+T197+T205+T234+T242+#REF!+T262+T282+T293+T304</f>
        <v>#REF!</v>
      </c>
      <c r="U120" s="87" t="e">
        <f>U123+U128+#REF!+U154+U177+U344+U197+U205+U234+U242+#REF!+U262+U282+U293+U304</f>
        <v>#REF!</v>
      </c>
      <c r="V120" s="87"/>
      <c r="W120" s="87" t="e">
        <f>W123+W128+#REF!+W154+W177+W344+W197+W205+W234+W242+#REF!+W262+W282+W293+W304</f>
        <v>#REF!</v>
      </c>
      <c r="X120" s="87" t="e">
        <f>X123+X128+#REF!+X154+X177+X344+X197+X205+X234+X242+#REF!+X262+X282+X293+X304</f>
        <v>#REF!</v>
      </c>
      <c r="Y120" s="87"/>
      <c r="Z120" s="87">
        <f>Z123+Z128+Z154+Z177+Z344+Z197+Z205+Z234+Z242+Z262+Z282+Z293+Z304+Z321</f>
        <v>0</v>
      </c>
      <c r="AA120" s="87">
        <f>AA123+AA128+AA154+AA177+AA344+AA197+AA205+AA234+AA242+AA262+AA282+AA293+AA304+AA321</f>
        <v>0</v>
      </c>
      <c r="AB120" s="87"/>
      <c r="AC120" s="87">
        <f>AC123+AC128+AC154+AC177+AC344+AC197+AC205+AC234+AC242+AC262+AC282+AC293+AC304+AC321</f>
        <v>7721782.1308753565</v>
      </c>
      <c r="AD120" s="87">
        <f>AD123+AD128+AD154+AD177+AD344+AD197+AD205+AD234+AD242+AD262+AD282+AD293+AD304+AD321</f>
        <v>8469738.9382999986</v>
      </c>
      <c r="AE120" s="87"/>
      <c r="AF120" s="87">
        <f>AF123+AF128+AF154+AF177+AF344+AF197+AF205+AF234+AF242+AF262+AF282+AF293+AF304+AF321</f>
        <v>7721782.1308753565</v>
      </c>
      <c r="AG120" s="87">
        <f>AG123+AG128+AG154+AG177+AG344+AG197+AG205+AG234+AG242+AG262+AG282+AG293+AG304+AG321</f>
        <v>8469738.9382999986</v>
      </c>
      <c r="AH120" s="87"/>
      <c r="AI120" s="87">
        <f>AI123+AI128+AI154+AI177+AI344+AI197+AI205+AI234+AI242+AI262+AI282+AI293+AI304+AI321</f>
        <v>16538898.425098214</v>
      </c>
      <c r="AJ120" s="87">
        <f>AJ123+AJ128+AJ154+AJ177+AJ344+AJ197+AJ205+AJ234+AJ242+AJ262+AJ282+AJ293+AJ304+AJ321</f>
        <v>18523566.152740002</v>
      </c>
      <c r="AK120" s="87"/>
      <c r="AL120" s="87">
        <f>AL123+AL128+AL154+AL177+AL344+AL197+AL205+AL234+AL242+AL262+AL282+AL293+AL304+AL321</f>
        <v>6219009.1230535721</v>
      </c>
      <c r="AM120" s="87">
        <f>AM123+AM128+AM154+AM177+AM344+AM197+AM205+AM234+AM242+AM262+AM282+AM293+AM304+AM321</f>
        <v>6965290.2178199971</v>
      </c>
      <c r="AN120" s="87"/>
      <c r="AO120" s="87">
        <f>AO123+AO128+AO154+AO177+AO344+AO197+AO205+AO234+AO242+AO262+AO282+AO293+AO304+AO321</f>
        <v>-10319889.302044645</v>
      </c>
      <c r="AP120" s="87">
        <f>AP123+AP128+AP154+AP177+AP344+AP197+AP205+AP234+AP242+AP262+AP282+AP293+AP304+AP321</f>
        <v>-11558275.934920004</v>
      </c>
      <c r="AQ120" s="87"/>
      <c r="AR120" s="93">
        <f>IF(AI120=0,"",AL120/AI120)</f>
        <v>0.37602317658690387</v>
      </c>
      <c r="AS120" s="87">
        <f t="shared" si="157"/>
        <v>1349922.5250982144</v>
      </c>
      <c r="AT120" s="87">
        <f t="shared" si="157"/>
        <v>4869086.5979553582</v>
      </c>
      <c r="AU120" s="87">
        <f t="shared" si="157"/>
        <v>0</v>
      </c>
      <c r="AV120" s="87">
        <f t="shared" si="157"/>
        <v>16720969.861374998</v>
      </c>
      <c r="AW120" s="87">
        <f t="shared" si="157"/>
        <v>18727486.244740002</v>
      </c>
      <c r="AX120" s="87">
        <f t="shared" si="157"/>
        <v>0</v>
      </c>
      <c r="AY120" s="87">
        <f t="shared" si="157"/>
        <v>0</v>
      </c>
      <c r="AZ120" s="87">
        <f t="shared" si="157"/>
        <v>0</v>
      </c>
      <c r="BA120" s="87">
        <f t="shared" si="157"/>
        <v>0</v>
      </c>
      <c r="BB120" s="87">
        <f t="shared" si="157"/>
        <v>0</v>
      </c>
      <c r="BC120" s="87">
        <f t="shared" si="157"/>
        <v>0</v>
      </c>
      <c r="BD120" s="87">
        <f t="shared" si="157"/>
        <v>0</v>
      </c>
      <c r="BE120" s="87">
        <f t="shared" si="157"/>
        <v>0</v>
      </c>
      <c r="BF120" s="87">
        <f t="shared" si="157"/>
        <v>0</v>
      </c>
      <c r="BG120" s="87">
        <f t="shared" si="157"/>
        <v>0</v>
      </c>
      <c r="BH120" s="87">
        <f t="shared" si="157"/>
        <v>0</v>
      </c>
      <c r="BI120" s="87">
        <f t="shared" si="157"/>
        <v>0</v>
      </c>
      <c r="BJ120" s="87">
        <f t="shared" si="157"/>
        <v>0</v>
      </c>
      <c r="BK120" s="87">
        <f t="shared" si="157"/>
        <v>0</v>
      </c>
      <c r="BL120" s="87">
        <f t="shared" si="157"/>
        <v>0</v>
      </c>
      <c r="BM120" s="462"/>
      <c r="BN120" s="96" t="e">
        <f>#REF!+BN130+#REF!+BN179+#REF!+#REF!+#REF!</f>
        <v>#REF!</v>
      </c>
      <c r="BO120" s="87" t="e">
        <f>#REF!+BO128+#REF!+BO177+BO344+#REF!+BO123+BO154</f>
        <v>#REF!</v>
      </c>
      <c r="BP120" s="87" t="e">
        <f>#REF!+BP128+#REF!+BP177+BP344+#REF!+BP123+BP154</f>
        <v>#REF!</v>
      </c>
      <c r="BQ120" s="87" t="e">
        <f>#REF!+BQ128+#REF!+BQ177+BQ344+#REF!+BQ123+BQ154</f>
        <v>#REF!</v>
      </c>
      <c r="BR120" s="96"/>
      <c r="BS120" s="96"/>
      <c r="BT120" s="96"/>
      <c r="BW120" s="25"/>
      <c r="BX120" s="26"/>
    </row>
    <row r="121" spans="1:76" s="114" customFormat="1" x14ac:dyDescent="0.25">
      <c r="A121" s="460"/>
      <c r="B121" s="351"/>
      <c r="C121" s="102" t="s">
        <v>71</v>
      </c>
      <c r="D121" s="102" t="s">
        <v>73</v>
      </c>
      <c r="E121" s="105">
        <f t="shared" ref="E121:F121" si="158">E120</f>
        <v>33923348</v>
      </c>
      <c r="F121" s="105">
        <f t="shared" si="158"/>
        <v>37994149.760000013</v>
      </c>
      <c r="G121" s="104"/>
      <c r="H121" s="103"/>
      <c r="I121" s="105">
        <f t="shared" ref="I121:J121" si="159">I120</f>
        <v>16538898.321428571</v>
      </c>
      <c r="J121" s="105">
        <f t="shared" si="159"/>
        <v>18523566.120000001</v>
      </c>
      <c r="K121" s="106"/>
      <c r="L121" s="107"/>
      <c r="M121" s="108"/>
      <c r="N121" s="109">
        <f t="shared" ref="N121:Q121" si="160">N120</f>
        <v>17294313678.095715</v>
      </c>
      <c r="O121" s="109">
        <f t="shared" si="160"/>
        <v>19336801606.539993</v>
      </c>
      <c r="P121" s="109">
        <f t="shared" si="160"/>
        <v>18467975921.135715</v>
      </c>
      <c r="Q121" s="109">
        <f t="shared" si="160"/>
        <v>20510463849.579994</v>
      </c>
      <c r="R121" s="110"/>
      <c r="S121" s="103"/>
      <c r="T121" s="105" t="e">
        <f t="shared" ref="T121:U121" si="161">T120</f>
        <v>#REF!</v>
      </c>
      <c r="U121" s="105" t="e">
        <f t="shared" si="161"/>
        <v>#REF!</v>
      </c>
      <c r="V121" s="105"/>
      <c r="W121" s="105" t="e">
        <f t="shared" ref="W121:X121" si="162">W120</f>
        <v>#REF!</v>
      </c>
      <c r="X121" s="105" t="e">
        <f t="shared" si="162"/>
        <v>#REF!</v>
      </c>
      <c r="Y121" s="105"/>
      <c r="Z121" s="105">
        <f t="shared" ref="Z121:AA121" si="163">Z120</f>
        <v>0</v>
      </c>
      <c r="AA121" s="105">
        <f t="shared" si="163"/>
        <v>0</v>
      </c>
      <c r="AB121" s="105"/>
      <c r="AC121" s="105">
        <f t="shared" ref="AC121:AD121" si="164">AC120</f>
        <v>7721782.1308753565</v>
      </c>
      <c r="AD121" s="105">
        <f t="shared" si="164"/>
        <v>8469738.9382999986</v>
      </c>
      <c r="AE121" s="105"/>
      <c r="AF121" s="105">
        <f t="shared" ref="AF121:AG121" si="165">AF120</f>
        <v>7721782.1308753565</v>
      </c>
      <c r="AG121" s="105">
        <f t="shared" si="165"/>
        <v>8469738.9382999986</v>
      </c>
      <c r="AH121" s="105"/>
      <c r="AI121" s="105">
        <f t="shared" ref="AI121:AJ121" si="166">AI120</f>
        <v>16538898.425098214</v>
      </c>
      <c r="AJ121" s="105">
        <f t="shared" si="166"/>
        <v>18523566.152740002</v>
      </c>
      <c r="AK121" s="105"/>
      <c r="AL121" s="105">
        <f t="shared" ref="AL121:AM121" si="167">AL120</f>
        <v>6219009.1230535721</v>
      </c>
      <c r="AM121" s="105">
        <f t="shared" si="167"/>
        <v>6965290.2178199971</v>
      </c>
      <c r="AN121" s="105"/>
      <c r="AO121" s="105">
        <f t="shared" ref="AO121:AP121" si="168">AO120</f>
        <v>-10319889.302044645</v>
      </c>
      <c r="AP121" s="105">
        <f t="shared" si="168"/>
        <v>-11558275.934920004</v>
      </c>
      <c r="AQ121" s="105"/>
      <c r="AR121" s="111">
        <f t="shared" si="28"/>
        <v>0.37602317658690387</v>
      </c>
      <c r="AS121" s="105">
        <f t="shared" ref="AS121:BL121" si="169">AS120</f>
        <v>1349922.5250982144</v>
      </c>
      <c r="AT121" s="105">
        <f t="shared" si="169"/>
        <v>4869086.5979553582</v>
      </c>
      <c r="AU121" s="105">
        <f t="shared" si="169"/>
        <v>0</v>
      </c>
      <c r="AV121" s="105">
        <f t="shared" si="169"/>
        <v>16720969.861374998</v>
      </c>
      <c r="AW121" s="105">
        <f t="shared" si="169"/>
        <v>18727486.244740002</v>
      </c>
      <c r="AX121" s="105">
        <f t="shared" si="169"/>
        <v>0</v>
      </c>
      <c r="AY121" s="105">
        <f t="shared" si="169"/>
        <v>0</v>
      </c>
      <c r="AZ121" s="105">
        <f t="shared" si="169"/>
        <v>0</v>
      </c>
      <c r="BA121" s="105">
        <f t="shared" si="169"/>
        <v>0</v>
      </c>
      <c r="BB121" s="105">
        <f t="shared" si="169"/>
        <v>0</v>
      </c>
      <c r="BC121" s="105">
        <f t="shared" si="169"/>
        <v>0</v>
      </c>
      <c r="BD121" s="105">
        <f t="shared" si="169"/>
        <v>0</v>
      </c>
      <c r="BE121" s="105">
        <f t="shared" si="169"/>
        <v>0</v>
      </c>
      <c r="BF121" s="105">
        <f t="shared" si="169"/>
        <v>0</v>
      </c>
      <c r="BG121" s="105">
        <f t="shared" si="169"/>
        <v>0</v>
      </c>
      <c r="BH121" s="105">
        <f t="shared" si="169"/>
        <v>0</v>
      </c>
      <c r="BI121" s="105">
        <f t="shared" si="169"/>
        <v>0</v>
      </c>
      <c r="BJ121" s="105">
        <f t="shared" si="169"/>
        <v>0</v>
      </c>
      <c r="BK121" s="105">
        <f t="shared" si="169"/>
        <v>0</v>
      </c>
      <c r="BL121" s="105">
        <f t="shared" si="169"/>
        <v>0</v>
      </c>
      <c r="BM121" s="463"/>
      <c r="BN121" s="113" t="e">
        <f>#REF!+BN131+#REF!+BN180+#REF!+#REF!+#REF!</f>
        <v>#REF!</v>
      </c>
      <c r="BO121" s="103" t="e">
        <f t="shared" ref="BO121:BQ121" si="170">BO120</f>
        <v>#REF!</v>
      </c>
      <c r="BP121" s="103" t="e">
        <f t="shared" si="170"/>
        <v>#REF!</v>
      </c>
      <c r="BQ121" s="103" t="e">
        <f t="shared" si="170"/>
        <v>#REF!</v>
      </c>
      <c r="BR121" s="113"/>
      <c r="BS121" s="113"/>
      <c r="BT121" s="113"/>
      <c r="BW121" s="115"/>
      <c r="BX121" s="116"/>
    </row>
    <row r="122" spans="1:76" s="189" customFormat="1" x14ac:dyDescent="0.25">
      <c r="A122" s="355">
        <v>1</v>
      </c>
      <c r="B122" s="353" t="s">
        <v>104</v>
      </c>
      <c r="C122" s="180" t="s">
        <v>69</v>
      </c>
      <c r="D122" s="181"/>
      <c r="E122" s="182">
        <f>E124</f>
        <v>6378</v>
      </c>
      <c r="F122" s="182">
        <f>F124</f>
        <v>7143.3600000000006</v>
      </c>
      <c r="G122" s="182"/>
      <c r="H122" s="182">
        <f t="shared" ref="H122:J123" si="171">H124</f>
        <v>0</v>
      </c>
      <c r="I122" s="182">
        <f t="shared" si="171"/>
        <v>0</v>
      </c>
      <c r="J122" s="182">
        <f t="shared" si="171"/>
        <v>0</v>
      </c>
      <c r="K122" s="431" t="s">
        <v>105</v>
      </c>
      <c r="L122" s="432"/>
      <c r="M122" s="435"/>
      <c r="N122" s="183">
        <f>N124</f>
        <v>4337210.9464285709</v>
      </c>
      <c r="O122" s="183">
        <f t="shared" ref="O122:Q123" si="172">O124</f>
        <v>4857676.26</v>
      </c>
      <c r="P122" s="183">
        <f t="shared" si="172"/>
        <v>4337210.9464285709</v>
      </c>
      <c r="Q122" s="183">
        <f t="shared" si="172"/>
        <v>4857676.26</v>
      </c>
      <c r="R122" s="184"/>
      <c r="S122" s="413">
        <f>S124</f>
        <v>5</v>
      </c>
      <c r="T122" s="182">
        <f>T124</f>
        <v>0</v>
      </c>
      <c r="U122" s="182">
        <f>U124</f>
        <v>0</v>
      </c>
      <c r="V122" s="182">
        <f>V124</f>
        <v>0</v>
      </c>
      <c r="W122" s="182">
        <f t="shared" ref="W122:AQ123" si="173">W124</f>
        <v>0</v>
      </c>
      <c r="X122" s="182">
        <f t="shared" si="173"/>
        <v>0</v>
      </c>
      <c r="Y122" s="182">
        <f t="shared" si="173"/>
        <v>0</v>
      </c>
      <c r="Z122" s="182">
        <f t="shared" si="173"/>
        <v>0</v>
      </c>
      <c r="AA122" s="182">
        <f t="shared" si="173"/>
        <v>0</v>
      </c>
      <c r="AB122" s="182">
        <f t="shared" si="173"/>
        <v>0</v>
      </c>
      <c r="AC122" s="182">
        <f t="shared" si="173"/>
        <v>3617</v>
      </c>
      <c r="AD122" s="182">
        <f t="shared" si="173"/>
        <v>4051.0400000000004</v>
      </c>
      <c r="AE122" s="182">
        <f t="shared" si="173"/>
        <v>5</v>
      </c>
      <c r="AF122" s="182">
        <f t="shared" si="173"/>
        <v>3617</v>
      </c>
      <c r="AG122" s="182">
        <f t="shared" si="173"/>
        <v>4051.0400000000004</v>
      </c>
      <c r="AH122" s="182">
        <f t="shared" si="173"/>
        <v>5</v>
      </c>
      <c r="AI122" s="182">
        <f t="shared" si="173"/>
        <v>0</v>
      </c>
      <c r="AJ122" s="182">
        <f t="shared" si="173"/>
        <v>0</v>
      </c>
      <c r="AK122" s="182">
        <f t="shared" si="173"/>
        <v>0</v>
      </c>
      <c r="AL122" s="182">
        <f t="shared" si="173"/>
        <v>0</v>
      </c>
      <c r="AM122" s="182">
        <f t="shared" si="173"/>
        <v>0</v>
      </c>
      <c r="AN122" s="182">
        <f t="shared" si="173"/>
        <v>0</v>
      </c>
      <c r="AO122" s="182">
        <f t="shared" si="173"/>
        <v>0</v>
      </c>
      <c r="AP122" s="182">
        <f t="shared" si="173"/>
        <v>0</v>
      </c>
      <c r="AQ122" s="182">
        <f t="shared" si="173"/>
        <v>0</v>
      </c>
      <c r="AR122" s="185" t="str">
        <f t="shared" si="28"/>
        <v/>
      </c>
      <c r="AS122" s="182">
        <f t="shared" ref="AS122:BL123" si="174">AS124</f>
        <v>0</v>
      </c>
      <c r="AT122" s="182">
        <f t="shared" si="174"/>
        <v>0</v>
      </c>
      <c r="AU122" s="182">
        <f t="shared" si="174"/>
        <v>0</v>
      </c>
      <c r="AV122" s="182">
        <f t="shared" si="174"/>
        <v>6378</v>
      </c>
      <c r="AW122" s="182">
        <f t="shared" si="174"/>
        <v>7143.3600000000006</v>
      </c>
      <c r="AX122" s="182">
        <f t="shared" si="174"/>
        <v>0</v>
      </c>
      <c r="AY122" s="182">
        <f t="shared" si="174"/>
        <v>0</v>
      </c>
      <c r="AZ122" s="182">
        <f t="shared" si="174"/>
        <v>0</v>
      </c>
      <c r="BA122" s="182">
        <f t="shared" si="174"/>
        <v>0</v>
      </c>
      <c r="BB122" s="182">
        <f t="shared" si="174"/>
        <v>0</v>
      </c>
      <c r="BC122" s="182">
        <f t="shared" si="174"/>
        <v>0</v>
      </c>
      <c r="BD122" s="182">
        <f t="shared" si="174"/>
        <v>0</v>
      </c>
      <c r="BE122" s="182">
        <f t="shared" si="174"/>
        <v>0</v>
      </c>
      <c r="BF122" s="182">
        <f t="shared" si="174"/>
        <v>0</v>
      </c>
      <c r="BG122" s="182">
        <f t="shared" si="174"/>
        <v>0</v>
      </c>
      <c r="BH122" s="182">
        <f t="shared" si="174"/>
        <v>0</v>
      </c>
      <c r="BI122" s="182">
        <f t="shared" si="174"/>
        <v>0</v>
      </c>
      <c r="BJ122" s="182">
        <f t="shared" si="174"/>
        <v>0</v>
      </c>
      <c r="BK122" s="182">
        <f t="shared" si="174"/>
        <v>0</v>
      </c>
      <c r="BL122" s="182">
        <f t="shared" si="174"/>
        <v>0</v>
      </c>
      <c r="BM122" s="186" t="s">
        <v>103</v>
      </c>
      <c r="BN122" s="187"/>
      <c r="BO122" s="188" t="e">
        <f>BO124+#REF!</f>
        <v>#REF!</v>
      </c>
      <c r="BP122" s="188" t="e">
        <f>BP124+#REF!</f>
        <v>#REF!</v>
      </c>
      <c r="BQ122" s="188" t="e">
        <f>BQ124+#REF!</f>
        <v>#REF!</v>
      </c>
      <c r="BR122" s="187"/>
      <c r="BS122" s="187"/>
      <c r="BT122" s="187"/>
      <c r="BW122" s="181"/>
      <c r="BX122" s="190"/>
    </row>
    <row r="123" spans="1:76" s="189" customFormat="1" x14ac:dyDescent="0.25">
      <c r="A123" s="416"/>
      <c r="B123" s="375"/>
      <c r="C123" s="180" t="s">
        <v>71</v>
      </c>
      <c r="D123" s="191"/>
      <c r="E123" s="182">
        <f>E125</f>
        <v>6378</v>
      </c>
      <c r="F123" s="182">
        <f>F125</f>
        <v>7143.3600000000006</v>
      </c>
      <c r="G123" s="182"/>
      <c r="H123" s="182"/>
      <c r="I123" s="182">
        <f t="shared" si="171"/>
        <v>1184.8214285714284</v>
      </c>
      <c r="J123" s="182">
        <f t="shared" si="171"/>
        <v>1327</v>
      </c>
      <c r="K123" s="433"/>
      <c r="L123" s="434"/>
      <c r="M123" s="436"/>
      <c r="N123" s="183">
        <f>N125</f>
        <v>4337210.9464285709</v>
      </c>
      <c r="O123" s="183">
        <f t="shared" si="172"/>
        <v>4857676.26</v>
      </c>
      <c r="P123" s="183">
        <f t="shared" si="172"/>
        <v>4337210.9464285709</v>
      </c>
      <c r="Q123" s="183">
        <f t="shared" si="172"/>
        <v>4857676.26</v>
      </c>
      <c r="R123" s="184"/>
      <c r="S123" s="413"/>
      <c r="T123" s="182">
        <f>T125</f>
        <v>0</v>
      </c>
      <c r="U123" s="182">
        <f>U125</f>
        <v>0</v>
      </c>
      <c r="V123" s="192"/>
      <c r="W123" s="182">
        <f t="shared" si="173"/>
        <v>0</v>
      </c>
      <c r="X123" s="182">
        <f t="shared" si="173"/>
        <v>0</v>
      </c>
      <c r="Y123" s="192"/>
      <c r="Z123" s="182">
        <f t="shared" si="173"/>
        <v>0</v>
      </c>
      <c r="AA123" s="182">
        <f t="shared" si="173"/>
        <v>0</v>
      </c>
      <c r="AB123" s="192"/>
      <c r="AC123" s="182">
        <f t="shared" si="173"/>
        <v>2079.1523124999999</v>
      </c>
      <c r="AD123" s="182">
        <f t="shared" si="173"/>
        <v>2328.6505900000002</v>
      </c>
      <c r="AE123" s="192"/>
      <c r="AF123" s="182">
        <f t="shared" si="173"/>
        <v>2079.1523124999999</v>
      </c>
      <c r="AG123" s="182">
        <f t="shared" si="173"/>
        <v>2328.6505900000002</v>
      </c>
      <c r="AH123" s="192"/>
      <c r="AI123" s="182">
        <f t="shared" si="173"/>
        <v>1184.5862232142856</v>
      </c>
      <c r="AJ123" s="182">
        <f t="shared" si="173"/>
        <v>1326.73657</v>
      </c>
      <c r="AK123" s="192"/>
      <c r="AL123" s="182">
        <f t="shared" si="173"/>
        <v>1184.5862232142856</v>
      </c>
      <c r="AM123" s="182">
        <f t="shared" si="173"/>
        <v>1326.73657</v>
      </c>
      <c r="AN123" s="192"/>
      <c r="AO123" s="182">
        <f t="shared" si="173"/>
        <v>0</v>
      </c>
      <c r="AP123" s="182">
        <f t="shared" si="173"/>
        <v>0</v>
      </c>
      <c r="AQ123" s="192"/>
      <c r="AR123" s="185">
        <f t="shared" si="28"/>
        <v>1</v>
      </c>
      <c r="AS123" s="182">
        <f t="shared" si="174"/>
        <v>1184.5862232142856</v>
      </c>
      <c r="AT123" s="182">
        <f t="shared" si="174"/>
        <v>0</v>
      </c>
      <c r="AU123" s="182">
        <f t="shared" si="174"/>
        <v>0</v>
      </c>
      <c r="AV123" s="182">
        <f t="shared" si="174"/>
        <v>6378</v>
      </c>
      <c r="AW123" s="182">
        <f t="shared" si="174"/>
        <v>7143.3600000000006</v>
      </c>
      <c r="AX123" s="182"/>
      <c r="AY123" s="182">
        <f t="shared" si="174"/>
        <v>0</v>
      </c>
      <c r="AZ123" s="182">
        <f t="shared" si="174"/>
        <v>0</v>
      </c>
      <c r="BA123" s="182">
        <f t="shared" si="174"/>
        <v>0</v>
      </c>
      <c r="BB123" s="182">
        <f t="shared" si="174"/>
        <v>0</v>
      </c>
      <c r="BC123" s="182">
        <f t="shared" si="174"/>
        <v>0</v>
      </c>
      <c r="BD123" s="182">
        <f t="shared" si="174"/>
        <v>0</v>
      </c>
      <c r="BE123" s="182">
        <f t="shared" si="174"/>
        <v>0</v>
      </c>
      <c r="BF123" s="182">
        <f t="shared" si="174"/>
        <v>0</v>
      </c>
      <c r="BG123" s="182">
        <f t="shared" si="174"/>
        <v>0</v>
      </c>
      <c r="BH123" s="182">
        <f t="shared" si="174"/>
        <v>0</v>
      </c>
      <c r="BI123" s="182">
        <f t="shared" si="174"/>
        <v>0</v>
      </c>
      <c r="BJ123" s="182">
        <f t="shared" si="174"/>
        <v>0</v>
      </c>
      <c r="BK123" s="182">
        <f t="shared" si="174"/>
        <v>0</v>
      </c>
      <c r="BL123" s="182">
        <f t="shared" si="174"/>
        <v>0</v>
      </c>
      <c r="BM123" s="186"/>
      <c r="BN123" s="187"/>
      <c r="BO123" s="188" t="e">
        <f>BO125+#REF!</f>
        <v>#REF!</v>
      </c>
      <c r="BP123" s="188" t="e">
        <f>BP125+#REF!</f>
        <v>#REF!</v>
      </c>
      <c r="BQ123" s="188" t="e">
        <f>BQ125+#REF!</f>
        <v>#REF!</v>
      </c>
      <c r="BR123" s="187"/>
      <c r="BS123" s="187"/>
      <c r="BT123" s="187"/>
      <c r="BW123" s="181"/>
      <c r="BX123" s="190"/>
    </row>
    <row r="124" spans="1:76" s="204" customFormat="1" x14ac:dyDescent="0.25">
      <c r="A124" s="416"/>
      <c r="B124" s="375"/>
      <c r="C124" s="193" t="s">
        <v>69</v>
      </c>
      <c r="D124" s="193" t="s">
        <v>70</v>
      </c>
      <c r="E124" s="194">
        <v>6378</v>
      </c>
      <c r="F124" s="194">
        <f>E124*1.12</f>
        <v>7143.3600000000006</v>
      </c>
      <c r="G124" s="402">
        <v>1818</v>
      </c>
      <c r="H124" s="404"/>
      <c r="I124" s="195"/>
      <c r="J124" s="195">
        <f>I124*1.12</f>
        <v>0</v>
      </c>
      <c r="K124" s="396" t="s">
        <v>106</v>
      </c>
      <c r="L124" s="391" t="s">
        <v>107</v>
      </c>
      <c r="M124" s="372" t="s">
        <v>96</v>
      </c>
      <c r="N124" s="196">
        <f t="shared" ref="N124:O126" si="175">P124</f>
        <v>4337210.9464285709</v>
      </c>
      <c r="O124" s="196">
        <f t="shared" si="175"/>
        <v>4857676.26</v>
      </c>
      <c r="P124" s="196">
        <f>Q124/1.12</f>
        <v>4337210.9464285709</v>
      </c>
      <c r="Q124" s="196">
        <v>4857676.26</v>
      </c>
      <c r="R124" s="369" t="s">
        <v>108</v>
      </c>
      <c r="S124" s="376">
        <v>5</v>
      </c>
      <c r="T124" s="197"/>
      <c r="U124" s="197"/>
      <c r="V124" s="197"/>
      <c r="W124" s="197"/>
      <c r="X124" s="197"/>
      <c r="Y124" s="197"/>
      <c r="Z124" s="198"/>
      <c r="AA124" s="198"/>
      <c r="AB124" s="198"/>
      <c r="AC124" s="198">
        <v>3617</v>
      </c>
      <c r="AD124" s="198">
        <v>4051.0400000000004</v>
      </c>
      <c r="AE124" s="198">
        <v>5</v>
      </c>
      <c r="AF124" s="198">
        <f t="shared" ref="AF124:AH126" si="176">Z124+AC124</f>
        <v>3617</v>
      </c>
      <c r="AG124" s="198">
        <f t="shared" si="176"/>
        <v>4051.0400000000004</v>
      </c>
      <c r="AH124" s="198">
        <f t="shared" si="176"/>
        <v>5</v>
      </c>
      <c r="AI124" s="198"/>
      <c r="AJ124" s="198">
        <f>AI124*1.12</f>
        <v>0</v>
      </c>
      <c r="AK124" s="198"/>
      <c r="AL124" s="198"/>
      <c r="AM124" s="199">
        <f>AL124*1.12</f>
        <v>0</v>
      </c>
      <c r="AN124" s="198"/>
      <c r="AO124" s="199"/>
      <c r="AP124" s="199"/>
      <c r="AQ124" s="199"/>
      <c r="AR124" s="200"/>
      <c r="AS124" s="201"/>
      <c r="AT124" s="201"/>
      <c r="AU124" s="201"/>
      <c r="AV124" s="199">
        <f>E124</f>
        <v>6378</v>
      </c>
      <c r="AW124" s="199">
        <f>AV124*1.12</f>
        <v>7143.3600000000006</v>
      </c>
      <c r="AX124" s="199">
        <f>H124</f>
        <v>0</v>
      </c>
      <c r="AY124" s="199"/>
      <c r="AZ124" s="199"/>
      <c r="BA124" s="199"/>
      <c r="BB124" s="199"/>
      <c r="BC124" s="199"/>
      <c r="BD124" s="199"/>
      <c r="BE124" s="199"/>
      <c r="BF124" s="199"/>
      <c r="BG124" s="199"/>
      <c r="BH124" s="199"/>
      <c r="BI124" s="199"/>
      <c r="BJ124" s="199"/>
      <c r="BK124" s="199"/>
      <c r="BL124" s="199"/>
      <c r="BM124" s="193"/>
      <c r="BN124" s="202"/>
      <c r="BO124" s="202"/>
      <c r="BP124" s="202"/>
      <c r="BQ124" s="202"/>
      <c r="BR124" s="203"/>
      <c r="BS124" s="203"/>
      <c r="BT124" s="202"/>
      <c r="BW124" s="202"/>
      <c r="BX124" s="205"/>
    </row>
    <row r="125" spans="1:76" s="97" customFormat="1" x14ac:dyDescent="0.25">
      <c r="A125" s="416"/>
      <c r="B125" s="375"/>
      <c r="C125" s="117" t="s">
        <v>71</v>
      </c>
      <c r="D125" s="117" t="s">
        <v>72</v>
      </c>
      <c r="E125" s="163">
        <f>E126</f>
        <v>6378</v>
      </c>
      <c r="F125" s="163">
        <f>F126</f>
        <v>7143.3600000000006</v>
      </c>
      <c r="G125" s="403"/>
      <c r="H125" s="405"/>
      <c r="I125" s="161">
        <f>I126</f>
        <v>1184.8214285714284</v>
      </c>
      <c r="J125" s="161">
        <f>J126</f>
        <v>1327</v>
      </c>
      <c r="K125" s="397"/>
      <c r="L125" s="392"/>
      <c r="M125" s="373"/>
      <c r="N125" s="120">
        <f t="shared" si="175"/>
        <v>4337210.9464285709</v>
      </c>
      <c r="O125" s="120">
        <f t="shared" si="175"/>
        <v>4857676.26</v>
      </c>
      <c r="P125" s="120">
        <f t="shared" ref="P125:P126" si="177">Q125/1.12</f>
        <v>4337210.9464285709</v>
      </c>
      <c r="Q125" s="120">
        <f>Q124</f>
        <v>4857676.26</v>
      </c>
      <c r="R125" s="369"/>
      <c r="S125" s="377"/>
      <c r="T125" s="206"/>
      <c r="U125" s="206"/>
      <c r="V125" s="206"/>
      <c r="W125" s="206"/>
      <c r="X125" s="206"/>
      <c r="Y125" s="206"/>
      <c r="Z125" s="119"/>
      <c r="AA125" s="119"/>
      <c r="AB125" s="119"/>
      <c r="AC125" s="119">
        <v>2079.1523124999999</v>
      </c>
      <c r="AD125" s="119">
        <v>2328.6505900000002</v>
      </c>
      <c r="AE125" s="119"/>
      <c r="AF125" s="119">
        <f t="shared" si="176"/>
        <v>2079.1523124999999</v>
      </c>
      <c r="AG125" s="119">
        <f t="shared" si="176"/>
        <v>2328.6505900000002</v>
      </c>
      <c r="AH125" s="119"/>
      <c r="AI125" s="163">
        <f>1326.73657/1.12</f>
        <v>1184.5862232142856</v>
      </c>
      <c r="AJ125" s="119">
        <f>AJ126</f>
        <v>1326.73657</v>
      </c>
      <c r="AK125" s="119"/>
      <c r="AL125" s="119">
        <f>AL126</f>
        <v>1184.5862232142856</v>
      </c>
      <c r="AM125" s="118">
        <f>AM126</f>
        <v>1326.73657</v>
      </c>
      <c r="AN125" s="119"/>
      <c r="AO125" s="118">
        <f>AL125-AI125</f>
        <v>0</v>
      </c>
      <c r="AP125" s="118">
        <f>AO125*1.12</f>
        <v>0</v>
      </c>
      <c r="AQ125" s="118"/>
      <c r="AR125" s="121"/>
      <c r="AS125" s="122">
        <f>AL125</f>
        <v>1184.5862232142856</v>
      </c>
      <c r="AT125" s="122"/>
      <c r="AU125" s="122"/>
      <c r="AV125" s="118">
        <f>E125</f>
        <v>6378</v>
      </c>
      <c r="AW125" s="118">
        <f t="shared" ref="AW125:AW194" si="178">AV125*1.12</f>
        <v>7143.3600000000006</v>
      </c>
      <c r="AX125" s="118"/>
      <c r="AY125" s="118"/>
      <c r="AZ125" s="118"/>
      <c r="BA125" s="118"/>
      <c r="BB125" s="118"/>
      <c r="BC125" s="118"/>
      <c r="BD125" s="118"/>
      <c r="BE125" s="118"/>
      <c r="BF125" s="118"/>
      <c r="BG125" s="118"/>
      <c r="BH125" s="118"/>
      <c r="BI125" s="118"/>
      <c r="BJ125" s="118"/>
      <c r="BK125" s="118"/>
      <c r="BL125" s="118"/>
      <c r="BM125" s="117"/>
      <c r="BN125" s="100"/>
      <c r="BO125" s="100"/>
      <c r="BP125" s="100"/>
      <c r="BQ125" s="100"/>
      <c r="BR125" s="207"/>
      <c r="BS125" s="207"/>
      <c r="BT125" s="100"/>
      <c r="BW125" s="100"/>
      <c r="BX125" s="101"/>
    </row>
    <row r="126" spans="1:76" x14ac:dyDescent="0.25">
      <c r="A126" s="416"/>
      <c r="B126" s="375"/>
      <c r="C126" s="124" t="s">
        <v>71</v>
      </c>
      <c r="D126" s="124" t="s">
        <v>73</v>
      </c>
      <c r="E126" s="167">
        <f>E124</f>
        <v>6378</v>
      </c>
      <c r="F126" s="167">
        <f>E126*1.12</f>
        <v>7143.3600000000006</v>
      </c>
      <c r="G126" s="403"/>
      <c r="H126" s="405"/>
      <c r="I126" s="167">
        <f>1327/1.12</f>
        <v>1184.8214285714284</v>
      </c>
      <c r="J126" s="166">
        <f>I126*1.12</f>
        <v>1327</v>
      </c>
      <c r="K126" s="398"/>
      <c r="L126" s="393"/>
      <c r="M126" s="374"/>
      <c r="N126" s="127">
        <f t="shared" si="175"/>
        <v>4337210.9464285709</v>
      </c>
      <c r="O126" s="127">
        <f t="shared" si="175"/>
        <v>4857676.26</v>
      </c>
      <c r="P126" s="127">
        <f t="shared" si="177"/>
        <v>4337210.9464285709</v>
      </c>
      <c r="Q126" s="127">
        <f>Q125</f>
        <v>4857676.26</v>
      </c>
      <c r="R126" s="369"/>
      <c r="S126" s="378"/>
      <c r="T126" s="37"/>
      <c r="U126" s="37"/>
      <c r="V126" s="37"/>
      <c r="W126" s="37"/>
      <c r="X126" s="37"/>
      <c r="Y126" s="37"/>
      <c r="Z126" s="126"/>
      <c r="AA126" s="126"/>
      <c r="AB126" s="126"/>
      <c r="AC126" s="126">
        <v>2079.1523124999999</v>
      </c>
      <c r="AD126" s="126">
        <v>2328.6505900000002</v>
      </c>
      <c r="AE126" s="126"/>
      <c r="AF126" s="126">
        <f t="shared" si="176"/>
        <v>2079.1523124999999</v>
      </c>
      <c r="AG126" s="126">
        <f t="shared" si="176"/>
        <v>2328.6505900000002</v>
      </c>
      <c r="AH126" s="126"/>
      <c r="AI126" s="126">
        <f>AI125</f>
        <v>1184.5862232142856</v>
      </c>
      <c r="AJ126" s="126">
        <f>AI126*1.12</f>
        <v>1326.73657</v>
      </c>
      <c r="AK126" s="126"/>
      <c r="AL126" s="126">
        <f>1326.73657/1.12</f>
        <v>1184.5862232142856</v>
      </c>
      <c r="AM126" s="125">
        <f>AL126*1.12</f>
        <v>1326.73657</v>
      </c>
      <c r="AN126" s="126"/>
      <c r="AO126" s="125">
        <f>AO125</f>
        <v>0</v>
      </c>
      <c r="AP126" s="125">
        <f>AO126*1.12</f>
        <v>0</v>
      </c>
      <c r="AQ126" s="118"/>
      <c r="AR126" s="121"/>
      <c r="AS126" s="129">
        <f>AL126</f>
        <v>1184.5862232142856</v>
      </c>
      <c r="AT126" s="129"/>
      <c r="AU126" s="129"/>
      <c r="AV126" s="125">
        <f>AV125</f>
        <v>6378</v>
      </c>
      <c r="AW126" s="125">
        <f t="shared" si="178"/>
        <v>7143.3600000000006</v>
      </c>
      <c r="AX126" s="125"/>
      <c r="AY126" s="118"/>
      <c r="AZ126" s="125"/>
      <c r="BA126" s="125"/>
      <c r="BB126" s="125"/>
      <c r="BC126" s="125"/>
      <c r="BD126" s="125"/>
      <c r="BE126" s="125"/>
      <c r="BF126" s="118"/>
      <c r="BG126" s="125"/>
      <c r="BH126" s="125"/>
      <c r="BI126" s="125"/>
      <c r="BJ126" s="125"/>
      <c r="BK126" s="125"/>
      <c r="BL126" s="125"/>
      <c r="BM126" s="124"/>
      <c r="BN126" s="25"/>
      <c r="BO126" s="25"/>
      <c r="BP126" s="25"/>
      <c r="BQ126" s="25"/>
      <c r="BR126" s="208"/>
      <c r="BS126" s="208"/>
      <c r="BT126" s="25"/>
      <c r="BW126" s="25"/>
      <c r="BX126" s="26"/>
    </row>
    <row r="127" spans="1:76" s="189" customFormat="1" x14ac:dyDescent="0.25">
      <c r="A127" s="355">
        <v>2</v>
      </c>
      <c r="B127" s="428" t="s">
        <v>109</v>
      </c>
      <c r="C127" s="180" t="s">
        <v>69</v>
      </c>
      <c r="D127" s="181"/>
      <c r="E127" s="182">
        <f>E129+E132+E135+E138+E141+E144+E147+E150</f>
        <v>1293082</v>
      </c>
      <c r="F127" s="182">
        <f>F129+F132+F135+F138+F141+F144+F147+F150</f>
        <v>1448251.84</v>
      </c>
      <c r="G127" s="191"/>
      <c r="H127" s="209">
        <f>H129</f>
        <v>0</v>
      </c>
      <c r="I127" s="182">
        <f>I129+I132+I135+I138+I141+I144+I147+I150</f>
        <v>0</v>
      </c>
      <c r="J127" s="182">
        <f>J129+J132+J135+J138+J141+J144+J147+J150</f>
        <v>0</v>
      </c>
      <c r="K127" s="431" t="s">
        <v>110</v>
      </c>
      <c r="L127" s="432"/>
      <c r="M127" s="435"/>
      <c r="N127" s="183">
        <f>N129+N132+N135+N138+N141+N144+N147+N150</f>
        <v>923049874.51785707</v>
      </c>
      <c r="O127" s="183">
        <f t="shared" ref="O127:Q128" si="179">O129+O132+O135+O138+O141+O144+O147+O150</f>
        <v>1033815859.46</v>
      </c>
      <c r="P127" s="183">
        <f>P129+P132+P135+P138+P141+P144+P147+P150</f>
        <v>923049874.51785707</v>
      </c>
      <c r="Q127" s="183">
        <f t="shared" si="179"/>
        <v>1033815859.46</v>
      </c>
      <c r="R127" s="210"/>
      <c r="S127" s="413">
        <f>S129+S132+S135+S138+S141+S144+S147+S150</f>
        <v>953</v>
      </c>
      <c r="T127" s="182">
        <f>T129+T132+T135+T138+T141+T144+T147+T150</f>
        <v>0</v>
      </c>
      <c r="U127" s="182">
        <f t="shared" ref="U127:AH128" si="180">U129+U132+U135+U138+U141+U144+U147+U150</f>
        <v>0</v>
      </c>
      <c r="V127" s="182">
        <f t="shared" si="180"/>
        <v>0</v>
      </c>
      <c r="W127" s="182">
        <f t="shared" si="180"/>
        <v>0</v>
      </c>
      <c r="X127" s="182">
        <f t="shared" si="180"/>
        <v>0</v>
      </c>
      <c r="Y127" s="182">
        <f t="shared" si="180"/>
        <v>0</v>
      </c>
      <c r="Z127" s="182">
        <f t="shared" si="180"/>
        <v>0</v>
      </c>
      <c r="AA127" s="182">
        <f t="shared" si="180"/>
        <v>0</v>
      </c>
      <c r="AB127" s="182">
        <f t="shared" si="180"/>
        <v>0</v>
      </c>
      <c r="AC127" s="182">
        <f t="shared" si="180"/>
        <v>759168</v>
      </c>
      <c r="AD127" s="182">
        <f t="shared" si="180"/>
        <v>850268.16000000003</v>
      </c>
      <c r="AE127" s="182">
        <f t="shared" si="180"/>
        <v>953</v>
      </c>
      <c r="AF127" s="182">
        <f t="shared" si="180"/>
        <v>759168</v>
      </c>
      <c r="AG127" s="182">
        <f t="shared" si="180"/>
        <v>850268.16000000003</v>
      </c>
      <c r="AH127" s="182">
        <f t="shared" si="180"/>
        <v>953</v>
      </c>
      <c r="AI127" s="192">
        <f>AI129+AI132+AI135+AI138+AI141+AI144+AI147+AI150</f>
        <v>0</v>
      </c>
      <c r="AJ127" s="192">
        <f t="shared" ref="AJ127:AN128" si="181">AJ129+AJ132+AJ135+AJ138+AJ141+AJ144+AJ147+AJ150</f>
        <v>0</v>
      </c>
      <c r="AK127" s="192">
        <f t="shared" si="181"/>
        <v>0</v>
      </c>
      <c r="AL127" s="192">
        <f>AL129+AL132+AL135+AL138+AL141+AL144+AL147+AL150</f>
        <v>0</v>
      </c>
      <c r="AM127" s="188">
        <f t="shared" si="181"/>
        <v>0</v>
      </c>
      <c r="AN127" s="192">
        <f t="shared" si="181"/>
        <v>0</v>
      </c>
      <c r="AO127" s="188">
        <f>AL127-AI127</f>
        <v>0</v>
      </c>
      <c r="AP127" s="188">
        <f t="shared" ref="AO127:AP177" si="182">AM127-AJ127</f>
        <v>0</v>
      </c>
      <c r="AQ127" s="188">
        <f>AQ129+AQ132+AQ135+AQ138+AQ141+AQ144+AQ147</f>
        <v>0</v>
      </c>
      <c r="AR127" s="185" t="str">
        <f t="shared" si="28"/>
        <v/>
      </c>
      <c r="AS127" s="211">
        <f t="shared" ref="AS127:AY128" si="183">AS129+AS132+AS135+AS138+AS141+AS144+AS147+AS150</f>
        <v>0</v>
      </c>
      <c r="AT127" s="211">
        <f t="shared" si="183"/>
        <v>0</v>
      </c>
      <c r="AU127" s="211">
        <f t="shared" si="183"/>
        <v>0</v>
      </c>
      <c r="AV127" s="188">
        <f>AV129+AV132+AV135+AV138+AV141+AV144+AV147+AV150</f>
        <v>1293082</v>
      </c>
      <c r="AW127" s="188">
        <f t="shared" si="183"/>
        <v>1448251.84</v>
      </c>
      <c r="AX127" s="188">
        <f>AX129+AX132+AX135+AX138+AX141+AX144+AX147+AX150</f>
        <v>0</v>
      </c>
      <c r="AY127" s="188">
        <f t="shared" ref="AY127:BL128" si="184">AY129+AY132+AY135+AY138+AY141+AY144+AY147+AY150</f>
        <v>0</v>
      </c>
      <c r="AZ127" s="188">
        <f t="shared" si="184"/>
        <v>0</v>
      </c>
      <c r="BA127" s="188">
        <f t="shared" si="184"/>
        <v>0</v>
      </c>
      <c r="BB127" s="188">
        <f t="shared" si="184"/>
        <v>0</v>
      </c>
      <c r="BC127" s="188">
        <f t="shared" si="184"/>
        <v>0</v>
      </c>
      <c r="BD127" s="188">
        <f t="shared" si="184"/>
        <v>0</v>
      </c>
      <c r="BE127" s="188">
        <f t="shared" si="184"/>
        <v>0</v>
      </c>
      <c r="BF127" s="188">
        <f t="shared" si="184"/>
        <v>0</v>
      </c>
      <c r="BG127" s="188">
        <f t="shared" si="184"/>
        <v>0</v>
      </c>
      <c r="BH127" s="188">
        <f t="shared" si="184"/>
        <v>0</v>
      </c>
      <c r="BI127" s="188">
        <f t="shared" si="184"/>
        <v>0</v>
      </c>
      <c r="BJ127" s="188">
        <f t="shared" si="184"/>
        <v>0</v>
      </c>
      <c r="BK127" s="188">
        <f t="shared" si="184"/>
        <v>0</v>
      </c>
      <c r="BL127" s="188">
        <f t="shared" si="184"/>
        <v>0</v>
      </c>
      <c r="BM127" s="186" t="s">
        <v>103</v>
      </c>
      <c r="BN127" s="181"/>
      <c r="BO127" s="188">
        <f t="shared" ref="BO127:BQ128" si="185">BO129+BO132+BO135+BO138+BO141+BO144+BO147+BO150</f>
        <v>0</v>
      </c>
      <c r="BP127" s="188">
        <f t="shared" si="185"/>
        <v>0</v>
      </c>
      <c r="BQ127" s="188">
        <f t="shared" si="185"/>
        <v>0</v>
      </c>
      <c r="BR127" s="212"/>
      <c r="BS127" s="212"/>
      <c r="BT127" s="181"/>
      <c r="BW127" s="181"/>
      <c r="BX127" s="190"/>
    </row>
    <row r="128" spans="1:76" s="189" customFormat="1" x14ac:dyDescent="0.25">
      <c r="A128" s="416"/>
      <c r="B128" s="429"/>
      <c r="C128" s="180" t="s">
        <v>71</v>
      </c>
      <c r="D128" s="191"/>
      <c r="E128" s="182">
        <f>E130+E133+E136+E139+E142+E145+E148+E151</f>
        <v>1293082</v>
      </c>
      <c r="F128" s="182">
        <f>F130+F133+F136+F139+F142+F145+F148+F151</f>
        <v>1448251.84</v>
      </c>
      <c r="G128" s="191"/>
      <c r="H128" s="209"/>
      <c r="I128" s="182">
        <f>I130+I133+I136+I139+I142+I145+I148+I151</f>
        <v>139138.39285714284</v>
      </c>
      <c r="J128" s="182">
        <f>J130+J133+J136+J139+J142+J145+J148+J151</f>
        <v>155835</v>
      </c>
      <c r="K128" s="433"/>
      <c r="L128" s="434"/>
      <c r="M128" s="436"/>
      <c r="N128" s="183">
        <f>N130+N133+N136+N139+N142+N145+N148+N151</f>
        <v>923049874.51785707</v>
      </c>
      <c r="O128" s="183">
        <f t="shared" si="179"/>
        <v>1033815859.46</v>
      </c>
      <c r="P128" s="183">
        <f t="shared" si="179"/>
        <v>923049874.51785707</v>
      </c>
      <c r="Q128" s="183">
        <f t="shared" si="179"/>
        <v>1033815859.46</v>
      </c>
      <c r="R128" s="210"/>
      <c r="S128" s="413"/>
      <c r="T128" s="182">
        <f>T130+T133+T136+T139+T142+T145+T148+T151</f>
        <v>0</v>
      </c>
      <c r="U128" s="182">
        <f t="shared" si="180"/>
        <v>0</v>
      </c>
      <c r="V128" s="182"/>
      <c r="W128" s="182">
        <f t="shared" si="180"/>
        <v>0</v>
      </c>
      <c r="X128" s="182">
        <f t="shared" si="180"/>
        <v>0</v>
      </c>
      <c r="Y128" s="182"/>
      <c r="Z128" s="182">
        <f t="shared" si="180"/>
        <v>0</v>
      </c>
      <c r="AA128" s="182">
        <f t="shared" si="180"/>
        <v>0</v>
      </c>
      <c r="AB128" s="182"/>
      <c r="AC128" s="182">
        <f t="shared" si="180"/>
        <v>516866.59987499984</v>
      </c>
      <c r="AD128" s="182">
        <f t="shared" si="180"/>
        <v>578890.59186000004</v>
      </c>
      <c r="AE128" s="182"/>
      <c r="AF128" s="182">
        <f t="shared" si="180"/>
        <v>516866.59987499984</v>
      </c>
      <c r="AG128" s="182">
        <f t="shared" si="180"/>
        <v>578890.59186000004</v>
      </c>
      <c r="AH128" s="182"/>
      <c r="AI128" s="192">
        <f>AI130+AI133+AI136+AI139+AI142+AI145+AI148+AI151</f>
        <v>139138.3512232143</v>
      </c>
      <c r="AJ128" s="192">
        <f t="shared" si="181"/>
        <v>155834.87</v>
      </c>
      <c r="AK128" s="192">
        <f t="shared" si="181"/>
        <v>0</v>
      </c>
      <c r="AL128" s="192">
        <f t="shared" si="181"/>
        <v>139138.3512232143</v>
      </c>
      <c r="AM128" s="188">
        <f t="shared" si="181"/>
        <v>155834.95337</v>
      </c>
      <c r="AN128" s="192">
        <f t="shared" si="181"/>
        <v>0</v>
      </c>
      <c r="AO128" s="188">
        <f t="shared" si="182"/>
        <v>0</v>
      </c>
      <c r="AP128" s="188">
        <f>AM128-AJ128</f>
        <v>8.3370000007562339E-2</v>
      </c>
      <c r="AQ128" s="188">
        <f t="shared" ref="AQ128" si="186">AQ130+AQ133+AQ136+AQ139+AQ142+AQ145</f>
        <v>0</v>
      </c>
      <c r="AR128" s="185">
        <f t="shared" si="28"/>
        <v>1</v>
      </c>
      <c r="AS128" s="211">
        <f t="shared" si="183"/>
        <v>139138.3512232143</v>
      </c>
      <c r="AT128" s="211">
        <f t="shared" si="183"/>
        <v>0</v>
      </c>
      <c r="AU128" s="211">
        <f t="shared" si="183"/>
        <v>0</v>
      </c>
      <c r="AV128" s="188">
        <f t="shared" si="183"/>
        <v>1419002.4648750001</v>
      </c>
      <c r="AW128" s="188">
        <f t="shared" si="183"/>
        <v>1589282.7606600001</v>
      </c>
      <c r="AX128" s="188">
        <f t="shared" si="183"/>
        <v>0</v>
      </c>
      <c r="AY128" s="188">
        <f t="shared" si="183"/>
        <v>0</v>
      </c>
      <c r="AZ128" s="188">
        <f t="shared" si="184"/>
        <v>0</v>
      </c>
      <c r="BA128" s="188">
        <f t="shared" si="184"/>
        <v>0</v>
      </c>
      <c r="BB128" s="188">
        <f t="shared" si="184"/>
        <v>0</v>
      </c>
      <c r="BC128" s="188">
        <f t="shared" si="184"/>
        <v>0</v>
      </c>
      <c r="BD128" s="188">
        <f t="shared" si="184"/>
        <v>0</v>
      </c>
      <c r="BE128" s="188">
        <f t="shared" si="184"/>
        <v>0</v>
      </c>
      <c r="BF128" s="188">
        <f t="shared" si="184"/>
        <v>0</v>
      </c>
      <c r="BG128" s="188">
        <f t="shared" si="184"/>
        <v>0</v>
      </c>
      <c r="BH128" s="188">
        <f t="shared" si="184"/>
        <v>0</v>
      </c>
      <c r="BI128" s="188">
        <f t="shared" si="184"/>
        <v>0</v>
      </c>
      <c r="BJ128" s="188">
        <f t="shared" si="184"/>
        <v>0</v>
      </c>
      <c r="BK128" s="188">
        <f t="shared" si="184"/>
        <v>0</v>
      </c>
      <c r="BL128" s="188">
        <f t="shared" si="184"/>
        <v>0</v>
      </c>
      <c r="BM128" s="213"/>
      <c r="BN128" s="181"/>
      <c r="BO128" s="188">
        <f t="shared" si="185"/>
        <v>0</v>
      </c>
      <c r="BP128" s="188">
        <f t="shared" si="185"/>
        <v>0</v>
      </c>
      <c r="BQ128" s="188">
        <f t="shared" si="185"/>
        <v>0</v>
      </c>
      <c r="BR128" s="212"/>
      <c r="BS128" s="212"/>
      <c r="BT128" s="181"/>
      <c r="BW128" s="181"/>
      <c r="BX128" s="190"/>
    </row>
    <row r="129" spans="1:76" s="204" customFormat="1" x14ac:dyDescent="0.25">
      <c r="A129" s="416"/>
      <c r="B129" s="429"/>
      <c r="C129" s="193" t="s">
        <v>69</v>
      </c>
      <c r="D129" s="193" t="s">
        <v>70</v>
      </c>
      <c r="E129" s="194">
        <v>1293082</v>
      </c>
      <c r="F129" s="194">
        <f>E129*1.12</f>
        <v>1448251.84</v>
      </c>
      <c r="G129" s="402">
        <v>1818</v>
      </c>
      <c r="H129" s="404"/>
      <c r="I129" s="195"/>
      <c r="J129" s="195">
        <f>I129*1.12</f>
        <v>0</v>
      </c>
      <c r="K129" s="388" t="s">
        <v>111</v>
      </c>
      <c r="L129" s="391" t="s">
        <v>112</v>
      </c>
      <c r="M129" s="372" t="s">
        <v>96</v>
      </c>
      <c r="N129" s="196">
        <f t="shared" ref="N129:O144" si="187">P129</f>
        <v>107351174.70535713</v>
      </c>
      <c r="O129" s="196">
        <f t="shared" si="187"/>
        <v>120233315.67</v>
      </c>
      <c r="P129" s="196">
        <f>Q129/1.12</f>
        <v>107351174.70535713</v>
      </c>
      <c r="Q129" s="196">
        <v>120233315.67</v>
      </c>
      <c r="R129" s="353" t="s">
        <v>113</v>
      </c>
      <c r="S129" s="365">
        <v>110</v>
      </c>
      <c r="T129" s="214"/>
      <c r="U129" s="214"/>
      <c r="V129" s="214"/>
      <c r="W129" s="214"/>
      <c r="X129" s="214"/>
      <c r="Y129" s="214"/>
      <c r="Z129" s="198"/>
      <c r="AA129" s="198"/>
      <c r="AB129" s="198"/>
      <c r="AC129" s="198">
        <f>74900+23178</f>
        <v>98078</v>
      </c>
      <c r="AD129" s="199">
        <f>AC129*1.12</f>
        <v>109847.36000000002</v>
      </c>
      <c r="AE129" s="198">
        <f>79+13+18</f>
        <v>110</v>
      </c>
      <c r="AF129" s="198">
        <f t="shared" ref="AF129:AH144" si="188">Z129+AC129</f>
        <v>98078</v>
      </c>
      <c r="AG129" s="198">
        <f t="shared" si="188"/>
        <v>109847.36000000002</v>
      </c>
      <c r="AH129" s="198">
        <f t="shared" si="188"/>
        <v>110</v>
      </c>
      <c r="AI129" s="198"/>
      <c r="AJ129" s="198">
        <f>AI129*1.12</f>
        <v>0</v>
      </c>
      <c r="AK129" s="198"/>
      <c r="AL129" s="198"/>
      <c r="AM129" s="199">
        <f>AL129*1.12</f>
        <v>0</v>
      </c>
      <c r="AN129" s="198"/>
      <c r="AO129" s="199"/>
      <c r="AP129" s="199"/>
      <c r="AQ129" s="199"/>
      <c r="AR129" s="200"/>
      <c r="AS129" s="201"/>
      <c r="AT129" s="201"/>
      <c r="AU129" s="201"/>
      <c r="AV129" s="199">
        <f>ROUND(P129/1000,0)</f>
        <v>107351</v>
      </c>
      <c r="AW129" s="199">
        <f>AV129*1.12</f>
        <v>120233.12000000001</v>
      </c>
      <c r="AX129" s="199">
        <f>S129</f>
        <v>110</v>
      </c>
      <c r="AY129" s="199"/>
      <c r="AZ129" s="199"/>
      <c r="BA129" s="199"/>
      <c r="BB129" s="199"/>
      <c r="BC129" s="199"/>
      <c r="BD129" s="199"/>
      <c r="BE129" s="199"/>
      <c r="BF129" s="199"/>
      <c r="BG129" s="199"/>
      <c r="BH129" s="199"/>
      <c r="BI129" s="199"/>
      <c r="BJ129" s="199"/>
      <c r="BK129" s="199"/>
      <c r="BL129" s="199"/>
      <c r="BM129" s="203"/>
      <c r="BN129" s="203"/>
      <c r="BO129" s="202"/>
      <c r="BP129" s="202"/>
      <c r="BQ129" s="202"/>
      <c r="BR129" s="203"/>
      <c r="BS129" s="203"/>
      <c r="BT129" s="202"/>
      <c r="BW129" s="202"/>
      <c r="BX129" s="205"/>
    </row>
    <row r="130" spans="1:76" s="97" customFormat="1" x14ac:dyDescent="0.25">
      <c r="A130" s="416"/>
      <c r="B130" s="429"/>
      <c r="C130" s="117" t="s">
        <v>71</v>
      </c>
      <c r="D130" s="117" t="s">
        <v>72</v>
      </c>
      <c r="E130" s="163">
        <f>E131</f>
        <v>1293082</v>
      </c>
      <c r="F130" s="163">
        <f>F131</f>
        <v>1448251.84</v>
      </c>
      <c r="G130" s="403"/>
      <c r="H130" s="405"/>
      <c r="I130" s="161">
        <f>I131</f>
        <v>139138.39285714284</v>
      </c>
      <c r="J130" s="161">
        <f>J131</f>
        <v>155835</v>
      </c>
      <c r="K130" s="389"/>
      <c r="L130" s="392"/>
      <c r="M130" s="373"/>
      <c r="N130" s="120">
        <f t="shared" si="187"/>
        <v>107351174.70535713</v>
      </c>
      <c r="O130" s="120">
        <f t="shared" si="187"/>
        <v>120233315.67</v>
      </c>
      <c r="P130" s="120">
        <f t="shared" ref="P130:P131" si="189">Q130/1.12</f>
        <v>107351174.70535713</v>
      </c>
      <c r="Q130" s="120">
        <f>Q129</f>
        <v>120233315.67</v>
      </c>
      <c r="R130" s="375"/>
      <c r="S130" s="365"/>
      <c r="T130" s="206"/>
      <c r="U130" s="206"/>
      <c r="V130" s="206"/>
      <c r="W130" s="206"/>
      <c r="X130" s="206"/>
      <c r="Y130" s="206"/>
      <c r="Z130" s="119"/>
      <c r="AA130" s="119"/>
      <c r="AB130" s="119"/>
      <c r="AC130" s="119">
        <f>AC131</f>
        <v>83814.099071428558</v>
      </c>
      <c r="AD130" s="118">
        <f>AD131</f>
        <v>93871.790959999998</v>
      </c>
      <c r="AE130" s="119"/>
      <c r="AF130" s="119">
        <f t="shared" si="188"/>
        <v>83814.099071428558</v>
      </c>
      <c r="AG130" s="119">
        <f t="shared" si="188"/>
        <v>93871.790959999998</v>
      </c>
      <c r="AH130" s="119"/>
      <c r="AI130" s="119">
        <f>AI131</f>
        <v>0</v>
      </c>
      <c r="AJ130" s="119">
        <f>AJ131</f>
        <v>0</v>
      </c>
      <c r="AK130" s="119"/>
      <c r="AL130" s="119">
        <f>AL131</f>
        <v>0</v>
      </c>
      <c r="AM130" s="118">
        <f>AM131</f>
        <v>0</v>
      </c>
      <c r="AN130" s="119"/>
      <c r="AO130" s="118">
        <f>AL130-AI130</f>
        <v>0</v>
      </c>
      <c r="AP130" s="118">
        <f>AO130*1.12</f>
        <v>0</v>
      </c>
      <c r="AQ130" s="118"/>
      <c r="AR130" s="121"/>
      <c r="AS130" s="122">
        <f>AL130</f>
        <v>0</v>
      </c>
      <c r="AT130" s="122"/>
      <c r="AU130" s="122"/>
      <c r="AV130" s="118">
        <f>ROUND(P130/1000,0)</f>
        <v>107351</v>
      </c>
      <c r="AW130" s="118">
        <f t="shared" ref="AW130:AW131" si="190">AV130*1.12</f>
        <v>120233.12000000001</v>
      </c>
      <c r="AX130" s="118"/>
      <c r="AY130" s="118"/>
      <c r="AZ130" s="118"/>
      <c r="BA130" s="118"/>
      <c r="BB130" s="118"/>
      <c r="BC130" s="118"/>
      <c r="BD130" s="118"/>
      <c r="BE130" s="118"/>
      <c r="BF130" s="118"/>
      <c r="BG130" s="118"/>
      <c r="BH130" s="118"/>
      <c r="BI130" s="118"/>
      <c r="BJ130" s="118"/>
      <c r="BK130" s="118"/>
      <c r="BL130" s="118"/>
      <c r="BM130" s="207"/>
      <c r="BN130" s="207"/>
      <c r="BO130" s="100"/>
      <c r="BP130" s="100"/>
      <c r="BQ130" s="100"/>
      <c r="BR130" s="207"/>
      <c r="BS130" s="207"/>
      <c r="BT130" s="100"/>
      <c r="BW130" s="100"/>
      <c r="BX130" s="101"/>
    </row>
    <row r="131" spans="1:76" x14ac:dyDescent="0.25">
      <c r="A131" s="416"/>
      <c r="B131" s="429"/>
      <c r="C131" s="124" t="s">
        <v>71</v>
      </c>
      <c r="D131" s="124" t="s">
        <v>73</v>
      </c>
      <c r="E131" s="167">
        <f>E129</f>
        <v>1293082</v>
      </c>
      <c r="F131" s="167">
        <f t="shared" ref="F131:F180" si="191">E131*1.12</f>
        <v>1448251.84</v>
      </c>
      <c r="G131" s="403"/>
      <c r="H131" s="405"/>
      <c r="I131" s="167">
        <f>(0+10412/1.12+42345/1.12+38844/1.12)+(4392/1.12+0+59842/1.12+0)</f>
        <v>139138.39285714284</v>
      </c>
      <c r="J131" s="166">
        <f>I131*1.12</f>
        <v>155835</v>
      </c>
      <c r="K131" s="390"/>
      <c r="L131" s="393"/>
      <c r="M131" s="374"/>
      <c r="N131" s="127">
        <f t="shared" si="187"/>
        <v>107351174.70535713</v>
      </c>
      <c r="O131" s="127">
        <f t="shared" si="187"/>
        <v>120233315.67</v>
      </c>
      <c r="P131" s="127">
        <f t="shared" si="189"/>
        <v>107351174.70535713</v>
      </c>
      <c r="Q131" s="127">
        <f>Q130</f>
        <v>120233315.67</v>
      </c>
      <c r="R131" s="375"/>
      <c r="S131" s="365"/>
      <c r="T131" s="37"/>
      <c r="U131" s="37"/>
      <c r="V131" s="37"/>
      <c r="W131" s="37"/>
      <c r="X131" s="37"/>
      <c r="Y131" s="37"/>
      <c r="Z131" s="126"/>
      <c r="AA131" s="126"/>
      <c r="AB131" s="126"/>
      <c r="AC131" s="215">
        <f>38729.53858/1.12+15186.17537/1.12+16533.01798/1.12+23422.99302/1.12+0.06601/1.12</f>
        <v>83814.099071428558</v>
      </c>
      <c r="AD131" s="167">
        <f>AC131*1.12</f>
        <v>93871.790959999998</v>
      </c>
      <c r="AE131" s="126"/>
      <c r="AF131" s="126">
        <f t="shared" si="188"/>
        <v>83814.099071428558</v>
      </c>
      <c r="AG131" s="126">
        <f t="shared" si="188"/>
        <v>93871.790959999998</v>
      </c>
      <c r="AH131" s="126"/>
      <c r="AI131" s="167"/>
      <c r="AJ131" s="126">
        <f>AI131*1.12</f>
        <v>0</v>
      </c>
      <c r="AK131" s="126"/>
      <c r="AL131" s="126"/>
      <c r="AM131" s="167">
        <f>AL131*1.12</f>
        <v>0</v>
      </c>
      <c r="AN131" s="126"/>
      <c r="AO131" s="125">
        <f>AO130</f>
        <v>0</v>
      </c>
      <c r="AP131" s="125">
        <f>AP130</f>
        <v>0</v>
      </c>
      <c r="AQ131" s="125"/>
      <c r="AR131" s="128"/>
      <c r="AS131" s="129">
        <f>AL131</f>
        <v>0</v>
      </c>
      <c r="AT131" s="129"/>
      <c r="AU131" s="129"/>
      <c r="AV131" s="125">
        <f>AV130</f>
        <v>107351</v>
      </c>
      <c r="AW131" s="125">
        <f t="shared" si="190"/>
        <v>120233.12000000001</v>
      </c>
      <c r="AX131" s="125"/>
      <c r="AY131" s="125"/>
      <c r="AZ131" s="125"/>
      <c r="BA131" s="125"/>
      <c r="BB131" s="125"/>
      <c r="BC131" s="125"/>
      <c r="BD131" s="125"/>
      <c r="BE131" s="125"/>
      <c r="BF131" s="125"/>
      <c r="BG131" s="125"/>
      <c r="BH131" s="125"/>
      <c r="BI131" s="125"/>
      <c r="BJ131" s="125"/>
      <c r="BK131" s="125"/>
      <c r="BL131" s="125"/>
      <c r="BM131" s="208"/>
      <c r="BN131" s="208"/>
      <c r="BO131" s="25"/>
      <c r="BP131" s="25"/>
      <c r="BQ131" s="25"/>
      <c r="BR131" s="208"/>
      <c r="BS131" s="208"/>
      <c r="BT131" s="25"/>
      <c r="BW131" s="25"/>
      <c r="BX131" s="26"/>
    </row>
    <row r="132" spans="1:76" s="204" customFormat="1" x14ac:dyDescent="0.25">
      <c r="A132" s="416"/>
      <c r="B132" s="429"/>
      <c r="C132" s="193" t="s">
        <v>69</v>
      </c>
      <c r="D132" s="193" t="s">
        <v>70</v>
      </c>
      <c r="E132" s="194"/>
      <c r="F132" s="194"/>
      <c r="G132" s="403"/>
      <c r="H132" s="405"/>
      <c r="I132" s="195"/>
      <c r="J132" s="195"/>
      <c r="K132" s="388" t="s">
        <v>106</v>
      </c>
      <c r="L132" s="391" t="s">
        <v>114</v>
      </c>
      <c r="M132" s="372" t="s">
        <v>96</v>
      </c>
      <c r="N132" s="196">
        <f t="shared" si="187"/>
        <v>116134452.63392857</v>
      </c>
      <c r="O132" s="196">
        <f t="shared" si="187"/>
        <v>130070586.95</v>
      </c>
      <c r="P132" s="196">
        <f>Q132/1.12</f>
        <v>116134452.63392857</v>
      </c>
      <c r="Q132" s="196">
        <v>130070586.95</v>
      </c>
      <c r="R132" s="375"/>
      <c r="S132" s="365">
        <v>119</v>
      </c>
      <c r="T132" s="214"/>
      <c r="U132" s="214"/>
      <c r="V132" s="214"/>
      <c r="W132" s="214"/>
      <c r="X132" s="214"/>
      <c r="Y132" s="214"/>
      <c r="Z132" s="198"/>
      <c r="AA132" s="198"/>
      <c r="AB132" s="198"/>
      <c r="AC132" s="198">
        <v>87677</v>
      </c>
      <c r="AD132" s="199">
        <f>AC132*1.12</f>
        <v>98198.24</v>
      </c>
      <c r="AE132" s="198">
        <f>71+48</f>
        <v>119</v>
      </c>
      <c r="AF132" s="198">
        <f t="shared" si="188"/>
        <v>87677</v>
      </c>
      <c r="AG132" s="198">
        <f t="shared" si="188"/>
        <v>98198.24</v>
      </c>
      <c r="AH132" s="198">
        <f t="shared" si="188"/>
        <v>119</v>
      </c>
      <c r="AI132" s="198"/>
      <c r="AJ132" s="198"/>
      <c r="AK132" s="198"/>
      <c r="AL132" s="198"/>
      <c r="AM132" s="199">
        <f>AL132*1.12</f>
        <v>0</v>
      </c>
      <c r="AN132" s="198"/>
      <c r="AO132" s="199"/>
      <c r="AP132" s="199"/>
      <c r="AQ132" s="199"/>
      <c r="AR132" s="200" t="str">
        <f t="shared" si="28"/>
        <v/>
      </c>
      <c r="AS132" s="201"/>
      <c r="AT132" s="201"/>
      <c r="AU132" s="201"/>
      <c r="AV132" s="199">
        <f>ROUND(P132/1000,0)</f>
        <v>116134</v>
      </c>
      <c r="AW132" s="199">
        <f>AV132*1.12</f>
        <v>130070.08000000002</v>
      </c>
      <c r="AX132" s="199">
        <f>S132</f>
        <v>119</v>
      </c>
      <c r="AY132" s="199"/>
      <c r="AZ132" s="199"/>
      <c r="BA132" s="199"/>
      <c r="BB132" s="199"/>
      <c r="BC132" s="199"/>
      <c r="BD132" s="199"/>
      <c r="BE132" s="199"/>
      <c r="BF132" s="199"/>
      <c r="BG132" s="199"/>
      <c r="BH132" s="199"/>
      <c r="BI132" s="199"/>
      <c r="BJ132" s="199"/>
      <c r="BK132" s="199"/>
      <c r="BL132" s="199"/>
      <c r="BM132" s="203"/>
      <c r="BN132" s="203"/>
      <c r="BO132" s="202"/>
      <c r="BP132" s="202"/>
      <c r="BQ132" s="202"/>
      <c r="BR132" s="203"/>
      <c r="BS132" s="203"/>
      <c r="BT132" s="202"/>
      <c r="BW132" s="202"/>
      <c r="BX132" s="205"/>
    </row>
    <row r="133" spans="1:76" s="97" customFormat="1" x14ac:dyDescent="0.25">
      <c r="A133" s="416"/>
      <c r="B133" s="429"/>
      <c r="C133" s="117" t="s">
        <v>71</v>
      </c>
      <c r="D133" s="117" t="s">
        <v>72</v>
      </c>
      <c r="E133" s="163"/>
      <c r="F133" s="163"/>
      <c r="G133" s="403"/>
      <c r="H133" s="405"/>
      <c r="I133" s="161"/>
      <c r="J133" s="161"/>
      <c r="K133" s="389"/>
      <c r="L133" s="392"/>
      <c r="M133" s="373"/>
      <c r="N133" s="120">
        <f t="shared" si="187"/>
        <v>116134452.63392857</v>
      </c>
      <c r="O133" s="120">
        <f t="shared" si="187"/>
        <v>130070586.95</v>
      </c>
      <c r="P133" s="120">
        <f>Q133/1.12</f>
        <v>116134452.63392857</v>
      </c>
      <c r="Q133" s="120">
        <f>Q132</f>
        <v>130070586.95</v>
      </c>
      <c r="R133" s="375"/>
      <c r="S133" s="365"/>
      <c r="T133" s="206"/>
      <c r="U133" s="206"/>
      <c r="V133" s="206"/>
      <c r="W133" s="206"/>
      <c r="X133" s="206"/>
      <c r="Y133" s="206"/>
      <c r="Z133" s="119"/>
      <c r="AA133" s="119"/>
      <c r="AB133" s="119"/>
      <c r="AC133" s="216">
        <f>43531.47581/1.12+31288.21773/1.12</f>
        <v>66803.297803571419</v>
      </c>
      <c r="AD133" s="118">
        <f>AC133*1.12</f>
        <v>74819.693539999993</v>
      </c>
      <c r="AE133" s="119"/>
      <c r="AF133" s="119">
        <f t="shared" si="188"/>
        <v>66803.297803571419</v>
      </c>
      <c r="AG133" s="119">
        <f t="shared" si="188"/>
        <v>74819.693539999993</v>
      </c>
      <c r="AH133" s="119"/>
      <c r="AI133" s="119"/>
      <c r="AJ133" s="119"/>
      <c r="AK133" s="119"/>
      <c r="AL133" s="119"/>
      <c r="AM133" s="118">
        <f>AL133*1.12</f>
        <v>0</v>
      </c>
      <c r="AN133" s="119"/>
      <c r="AO133" s="118">
        <f>AL133-AI133</f>
        <v>0</v>
      </c>
      <c r="AP133" s="118">
        <f>AO133*1.12</f>
        <v>0</v>
      </c>
      <c r="AQ133" s="118"/>
      <c r="AR133" s="121" t="str">
        <f t="shared" si="28"/>
        <v/>
      </c>
      <c r="AS133" s="122">
        <f>AL133</f>
        <v>0</v>
      </c>
      <c r="AT133" s="122"/>
      <c r="AU133" s="122"/>
      <c r="AV133" s="118">
        <f>ROUND(P133/1000,0)</f>
        <v>116134</v>
      </c>
      <c r="AW133" s="118">
        <f t="shared" ref="AW133:AW134" si="192">AV133*1.12</f>
        <v>130070.08000000002</v>
      </c>
      <c r="AX133" s="118"/>
      <c r="AY133" s="118"/>
      <c r="AZ133" s="118"/>
      <c r="BA133" s="118"/>
      <c r="BB133" s="118"/>
      <c r="BC133" s="118"/>
      <c r="BD133" s="118"/>
      <c r="BE133" s="118"/>
      <c r="BF133" s="118"/>
      <c r="BG133" s="118"/>
      <c r="BH133" s="118"/>
      <c r="BI133" s="118"/>
      <c r="BJ133" s="118"/>
      <c r="BK133" s="118"/>
      <c r="BL133" s="118"/>
      <c r="BM133" s="207"/>
      <c r="BN133" s="207"/>
      <c r="BO133" s="100"/>
      <c r="BP133" s="100"/>
      <c r="BQ133" s="100"/>
      <c r="BR133" s="207"/>
      <c r="BS133" s="207"/>
      <c r="BT133" s="100"/>
      <c r="BW133" s="100"/>
      <c r="BX133" s="101"/>
    </row>
    <row r="134" spans="1:76" x14ac:dyDescent="0.25">
      <c r="A134" s="416"/>
      <c r="B134" s="429"/>
      <c r="C134" s="124" t="s">
        <v>71</v>
      </c>
      <c r="D134" s="124" t="s">
        <v>73</v>
      </c>
      <c r="E134" s="167"/>
      <c r="F134" s="167"/>
      <c r="G134" s="403"/>
      <c r="H134" s="405"/>
      <c r="I134" s="166"/>
      <c r="J134" s="166"/>
      <c r="K134" s="390"/>
      <c r="L134" s="393"/>
      <c r="M134" s="374"/>
      <c r="N134" s="127">
        <f t="shared" si="187"/>
        <v>116134452.63392857</v>
      </c>
      <c r="O134" s="127">
        <f t="shared" si="187"/>
        <v>130070586.95</v>
      </c>
      <c r="P134" s="127">
        <f>Q134/1.12</f>
        <v>116134452.63392857</v>
      </c>
      <c r="Q134" s="127">
        <f>Q133</f>
        <v>130070586.95</v>
      </c>
      <c r="R134" s="375"/>
      <c r="S134" s="365"/>
      <c r="T134" s="37"/>
      <c r="U134" s="37"/>
      <c r="V134" s="37"/>
      <c r="W134" s="37"/>
      <c r="X134" s="37"/>
      <c r="Y134" s="37"/>
      <c r="Z134" s="126"/>
      <c r="AA134" s="126"/>
      <c r="AB134" s="126"/>
      <c r="AC134" s="126">
        <f>AC133</f>
        <v>66803.297803571419</v>
      </c>
      <c r="AD134" s="125">
        <f>AD133</f>
        <v>74819.693539999993</v>
      </c>
      <c r="AE134" s="126"/>
      <c r="AF134" s="126">
        <f t="shared" si="188"/>
        <v>66803.297803571419</v>
      </c>
      <c r="AG134" s="126">
        <f t="shared" si="188"/>
        <v>74819.693539999993</v>
      </c>
      <c r="AH134" s="126"/>
      <c r="AI134" s="126"/>
      <c r="AJ134" s="126"/>
      <c r="AK134" s="126"/>
      <c r="AL134" s="126">
        <f>AL133</f>
        <v>0</v>
      </c>
      <c r="AM134" s="125">
        <f>AM133</f>
        <v>0</v>
      </c>
      <c r="AN134" s="126"/>
      <c r="AO134" s="125">
        <f>AO133</f>
        <v>0</v>
      </c>
      <c r="AP134" s="125">
        <f>AP133</f>
        <v>0</v>
      </c>
      <c r="AQ134" s="125"/>
      <c r="AR134" s="128" t="str">
        <f t="shared" si="28"/>
        <v/>
      </c>
      <c r="AS134" s="129">
        <f>AL134</f>
        <v>0</v>
      </c>
      <c r="AT134" s="129"/>
      <c r="AU134" s="129"/>
      <c r="AV134" s="125">
        <f>AV133</f>
        <v>116134</v>
      </c>
      <c r="AW134" s="125">
        <f t="shared" si="192"/>
        <v>130070.08000000002</v>
      </c>
      <c r="AX134" s="125"/>
      <c r="AY134" s="125"/>
      <c r="AZ134" s="125"/>
      <c r="BA134" s="125"/>
      <c r="BB134" s="125"/>
      <c r="BC134" s="125"/>
      <c r="BD134" s="125"/>
      <c r="BE134" s="125"/>
      <c r="BF134" s="125"/>
      <c r="BG134" s="125"/>
      <c r="BH134" s="125"/>
      <c r="BI134" s="125"/>
      <c r="BJ134" s="125"/>
      <c r="BK134" s="125"/>
      <c r="BL134" s="125"/>
      <c r="BM134" s="208"/>
      <c r="BN134" s="208"/>
      <c r="BO134" s="25"/>
      <c r="BP134" s="25"/>
      <c r="BQ134" s="25"/>
      <c r="BR134" s="208"/>
      <c r="BS134" s="208"/>
      <c r="BT134" s="25"/>
      <c r="BW134" s="25"/>
      <c r="BX134" s="26"/>
    </row>
    <row r="135" spans="1:76" s="204" customFormat="1" x14ac:dyDescent="0.25">
      <c r="A135" s="416"/>
      <c r="B135" s="429"/>
      <c r="C135" s="193" t="s">
        <v>69</v>
      </c>
      <c r="D135" s="193" t="s">
        <v>70</v>
      </c>
      <c r="E135" s="194"/>
      <c r="F135" s="194"/>
      <c r="G135" s="403"/>
      <c r="H135" s="405"/>
      <c r="I135" s="195"/>
      <c r="J135" s="195"/>
      <c r="K135" s="444" t="s">
        <v>115</v>
      </c>
      <c r="L135" s="445" t="s">
        <v>116</v>
      </c>
      <c r="M135" s="406" t="s">
        <v>96</v>
      </c>
      <c r="N135" s="196">
        <f t="shared" si="187"/>
        <v>81001340.910714269</v>
      </c>
      <c r="O135" s="196">
        <f t="shared" si="187"/>
        <v>90721501.819999993</v>
      </c>
      <c r="P135" s="196">
        <f>Q135/1.12</f>
        <v>81001340.910714269</v>
      </c>
      <c r="Q135" s="196">
        <v>90721501.819999993</v>
      </c>
      <c r="R135" s="375"/>
      <c r="S135" s="365">
        <v>83</v>
      </c>
      <c r="T135" s="214"/>
      <c r="U135" s="214"/>
      <c r="V135" s="214"/>
      <c r="W135" s="214"/>
      <c r="X135" s="214"/>
      <c r="Y135" s="214"/>
      <c r="Z135" s="198"/>
      <c r="AA135" s="198"/>
      <c r="AB135" s="198"/>
      <c r="AC135" s="198">
        <v>56925</v>
      </c>
      <c r="AD135" s="199">
        <f>AC135*1.12</f>
        <v>63756.000000000007</v>
      </c>
      <c r="AE135" s="198">
        <f>69+14</f>
        <v>83</v>
      </c>
      <c r="AF135" s="198">
        <f t="shared" si="188"/>
        <v>56925</v>
      </c>
      <c r="AG135" s="198">
        <f t="shared" si="188"/>
        <v>63756.000000000007</v>
      </c>
      <c r="AH135" s="198">
        <f t="shared" si="188"/>
        <v>83</v>
      </c>
      <c r="AI135" s="198"/>
      <c r="AJ135" s="198"/>
      <c r="AK135" s="198"/>
      <c r="AL135" s="198"/>
      <c r="AM135" s="199">
        <f>AL135*1.12</f>
        <v>0</v>
      </c>
      <c r="AN135" s="198"/>
      <c r="AO135" s="199"/>
      <c r="AP135" s="199"/>
      <c r="AQ135" s="199"/>
      <c r="AR135" s="200" t="str">
        <f t="shared" si="28"/>
        <v/>
      </c>
      <c r="AS135" s="201"/>
      <c r="AT135" s="201"/>
      <c r="AU135" s="201"/>
      <c r="AV135" s="199">
        <f>ROUND(P135/1000,0)</f>
        <v>81001</v>
      </c>
      <c r="AW135" s="199">
        <f>AV135*1.12</f>
        <v>90721.12000000001</v>
      </c>
      <c r="AX135" s="199">
        <f>S135</f>
        <v>83</v>
      </c>
      <c r="AY135" s="199"/>
      <c r="AZ135" s="199"/>
      <c r="BA135" s="199"/>
      <c r="BB135" s="199"/>
      <c r="BC135" s="199"/>
      <c r="BD135" s="199"/>
      <c r="BE135" s="199"/>
      <c r="BF135" s="199"/>
      <c r="BG135" s="199"/>
      <c r="BH135" s="199"/>
      <c r="BI135" s="199"/>
      <c r="BJ135" s="199"/>
      <c r="BK135" s="199"/>
      <c r="BL135" s="199"/>
      <c r="BM135" s="203"/>
      <c r="BN135" s="203"/>
      <c r="BO135" s="202"/>
      <c r="BP135" s="202"/>
      <c r="BQ135" s="202"/>
      <c r="BR135" s="203"/>
      <c r="BS135" s="203"/>
      <c r="BT135" s="202"/>
      <c r="BW135" s="202"/>
      <c r="BX135" s="205"/>
    </row>
    <row r="136" spans="1:76" s="97" customFormat="1" x14ac:dyDescent="0.25">
      <c r="A136" s="416"/>
      <c r="B136" s="429"/>
      <c r="C136" s="117" t="s">
        <v>71</v>
      </c>
      <c r="D136" s="117" t="s">
        <v>72</v>
      </c>
      <c r="E136" s="163"/>
      <c r="F136" s="163"/>
      <c r="G136" s="403"/>
      <c r="H136" s="405"/>
      <c r="I136" s="161"/>
      <c r="J136" s="161"/>
      <c r="K136" s="444"/>
      <c r="L136" s="445"/>
      <c r="M136" s="406"/>
      <c r="N136" s="120">
        <f t="shared" si="187"/>
        <v>81001340.910714269</v>
      </c>
      <c r="O136" s="120">
        <f t="shared" si="187"/>
        <v>90721501.819999993</v>
      </c>
      <c r="P136" s="120">
        <f t="shared" ref="P136:P137" si="193">Q136/1.12</f>
        <v>81001340.910714269</v>
      </c>
      <c r="Q136" s="120">
        <f>Q135</f>
        <v>90721501.819999993</v>
      </c>
      <c r="R136" s="375"/>
      <c r="S136" s="365"/>
      <c r="T136" s="206"/>
      <c r="U136" s="206"/>
      <c r="V136" s="206"/>
      <c r="W136" s="206"/>
      <c r="X136" s="206"/>
      <c r="Y136" s="206"/>
      <c r="Z136" s="119"/>
      <c r="AA136" s="119"/>
      <c r="AB136" s="119"/>
      <c r="AC136" s="119">
        <f>63362.06082/1.12</f>
        <v>56573.268589285704</v>
      </c>
      <c r="AD136" s="118">
        <f>AC136*1.12</f>
        <v>63362.060819999992</v>
      </c>
      <c r="AE136" s="119"/>
      <c r="AF136" s="119">
        <f t="shared" si="188"/>
        <v>56573.268589285704</v>
      </c>
      <c r="AG136" s="119">
        <f t="shared" si="188"/>
        <v>63362.060819999992</v>
      </c>
      <c r="AH136" s="119"/>
      <c r="AI136" s="119"/>
      <c r="AJ136" s="119"/>
      <c r="AK136" s="119"/>
      <c r="AL136" s="119"/>
      <c r="AM136" s="118">
        <f>AL136*1.12</f>
        <v>0</v>
      </c>
      <c r="AN136" s="119"/>
      <c r="AO136" s="118">
        <f>AL136-AI136</f>
        <v>0</v>
      </c>
      <c r="AP136" s="118">
        <f>AO136*1.12</f>
        <v>0</v>
      </c>
      <c r="AQ136" s="118"/>
      <c r="AR136" s="121" t="str">
        <f t="shared" si="28"/>
        <v/>
      </c>
      <c r="AS136" s="122">
        <f>AL136</f>
        <v>0</v>
      </c>
      <c r="AT136" s="122"/>
      <c r="AU136" s="122"/>
      <c r="AV136" s="118">
        <f>ROUND(P136/1000,0)</f>
        <v>81001</v>
      </c>
      <c r="AW136" s="118">
        <f t="shared" ref="AW136:AW137" si="194">AV136*1.12</f>
        <v>90721.12000000001</v>
      </c>
      <c r="AX136" s="118"/>
      <c r="AY136" s="118"/>
      <c r="AZ136" s="118"/>
      <c r="BA136" s="118"/>
      <c r="BB136" s="118"/>
      <c r="BC136" s="118"/>
      <c r="BD136" s="118"/>
      <c r="BE136" s="118"/>
      <c r="BF136" s="118"/>
      <c r="BG136" s="118"/>
      <c r="BH136" s="118"/>
      <c r="BI136" s="118"/>
      <c r="BJ136" s="118"/>
      <c r="BK136" s="118"/>
      <c r="BL136" s="118"/>
      <c r="BM136" s="207"/>
      <c r="BN136" s="207"/>
      <c r="BO136" s="100"/>
      <c r="BP136" s="100"/>
      <c r="BQ136" s="100"/>
      <c r="BR136" s="207"/>
      <c r="BS136" s="207"/>
      <c r="BT136" s="100"/>
      <c r="BW136" s="100"/>
      <c r="BX136" s="101"/>
    </row>
    <row r="137" spans="1:76" x14ac:dyDescent="0.25">
      <c r="A137" s="416"/>
      <c r="B137" s="429"/>
      <c r="C137" s="124" t="s">
        <v>71</v>
      </c>
      <c r="D137" s="124" t="s">
        <v>73</v>
      </c>
      <c r="E137" s="167"/>
      <c r="F137" s="167"/>
      <c r="G137" s="403"/>
      <c r="H137" s="405"/>
      <c r="I137" s="166"/>
      <c r="J137" s="166"/>
      <c r="K137" s="444"/>
      <c r="L137" s="445"/>
      <c r="M137" s="406"/>
      <c r="N137" s="127">
        <f t="shared" si="187"/>
        <v>81001340.910714269</v>
      </c>
      <c r="O137" s="127">
        <f t="shared" si="187"/>
        <v>90721501.819999993</v>
      </c>
      <c r="P137" s="127">
        <f t="shared" si="193"/>
        <v>81001340.910714269</v>
      </c>
      <c r="Q137" s="127">
        <f>Q136</f>
        <v>90721501.819999993</v>
      </c>
      <c r="R137" s="354"/>
      <c r="S137" s="365"/>
      <c r="T137" s="37"/>
      <c r="U137" s="37"/>
      <c r="V137" s="37"/>
      <c r="W137" s="37"/>
      <c r="X137" s="37"/>
      <c r="Y137" s="37"/>
      <c r="Z137" s="126"/>
      <c r="AA137" s="126"/>
      <c r="AB137" s="126"/>
      <c r="AC137" s="126">
        <f>AC136</f>
        <v>56573.268589285704</v>
      </c>
      <c r="AD137" s="125">
        <f>AD136</f>
        <v>63362.060819999992</v>
      </c>
      <c r="AE137" s="126"/>
      <c r="AF137" s="126">
        <f t="shared" si="188"/>
        <v>56573.268589285704</v>
      </c>
      <c r="AG137" s="126">
        <f t="shared" si="188"/>
        <v>63362.060819999992</v>
      </c>
      <c r="AH137" s="126"/>
      <c r="AI137" s="126"/>
      <c r="AJ137" s="126"/>
      <c r="AK137" s="126"/>
      <c r="AL137" s="126">
        <f>AL136</f>
        <v>0</v>
      </c>
      <c r="AM137" s="125">
        <f>AM136</f>
        <v>0</v>
      </c>
      <c r="AN137" s="126"/>
      <c r="AO137" s="125">
        <f>AO136</f>
        <v>0</v>
      </c>
      <c r="AP137" s="125">
        <f>AP136</f>
        <v>0</v>
      </c>
      <c r="AQ137" s="125"/>
      <c r="AR137" s="128" t="str">
        <f t="shared" si="28"/>
        <v/>
      </c>
      <c r="AS137" s="129">
        <f>AL137</f>
        <v>0</v>
      </c>
      <c r="AT137" s="129"/>
      <c r="AU137" s="129"/>
      <c r="AV137" s="125">
        <f>AV136</f>
        <v>81001</v>
      </c>
      <c r="AW137" s="125">
        <f t="shared" si="194"/>
        <v>90721.12000000001</v>
      </c>
      <c r="AX137" s="125"/>
      <c r="AY137" s="125"/>
      <c r="AZ137" s="125"/>
      <c r="BA137" s="125"/>
      <c r="BB137" s="125"/>
      <c r="BC137" s="125"/>
      <c r="BD137" s="125"/>
      <c r="BE137" s="125"/>
      <c r="BF137" s="125"/>
      <c r="BG137" s="125"/>
      <c r="BH137" s="125"/>
      <c r="BI137" s="125"/>
      <c r="BJ137" s="125"/>
      <c r="BK137" s="125"/>
      <c r="BL137" s="125"/>
      <c r="BM137" s="208"/>
      <c r="BN137" s="208"/>
      <c r="BO137" s="25"/>
      <c r="BP137" s="25"/>
      <c r="BQ137" s="25"/>
      <c r="BR137" s="208"/>
      <c r="BS137" s="208"/>
      <c r="BT137" s="25"/>
      <c r="BW137" s="25"/>
      <c r="BX137" s="26"/>
    </row>
    <row r="138" spans="1:76" s="204" customFormat="1" x14ac:dyDescent="0.25">
      <c r="A138" s="416"/>
      <c r="B138" s="429"/>
      <c r="C138" s="193" t="s">
        <v>69</v>
      </c>
      <c r="D138" s="193" t="s">
        <v>70</v>
      </c>
      <c r="E138" s="194"/>
      <c r="F138" s="194"/>
      <c r="G138" s="403"/>
      <c r="H138" s="405"/>
      <c r="I138" s="195"/>
      <c r="J138" s="195"/>
      <c r="K138" s="396" t="s">
        <v>111</v>
      </c>
      <c r="L138" s="445" t="s">
        <v>117</v>
      </c>
      <c r="M138" s="406" t="s">
        <v>96</v>
      </c>
      <c r="N138" s="196">
        <f t="shared" si="187"/>
        <v>222505999.99999997</v>
      </c>
      <c r="O138" s="196">
        <f t="shared" si="187"/>
        <v>249206720</v>
      </c>
      <c r="P138" s="196">
        <f>Q138/1.12</f>
        <v>222505999.99999997</v>
      </c>
      <c r="Q138" s="196">
        <v>249206720</v>
      </c>
      <c r="R138" s="369" t="s">
        <v>118</v>
      </c>
      <c r="S138" s="365">
        <v>228</v>
      </c>
      <c r="T138" s="214"/>
      <c r="U138" s="214"/>
      <c r="V138" s="214"/>
      <c r="W138" s="214"/>
      <c r="X138" s="214"/>
      <c r="Y138" s="214"/>
      <c r="Z138" s="198"/>
      <c r="AA138" s="198"/>
      <c r="AB138" s="198"/>
      <c r="AC138" s="198">
        <v>187036</v>
      </c>
      <c r="AD138" s="199">
        <f>AC138*1.12</f>
        <v>209480.32000000001</v>
      </c>
      <c r="AE138" s="198">
        <f>193+24+11</f>
        <v>228</v>
      </c>
      <c r="AF138" s="198">
        <f t="shared" si="188"/>
        <v>187036</v>
      </c>
      <c r="AG138" s="198">
        <f t="shared" si="188"/>
        <v>209480.32000000001</v>
      </c>
      <c r="AH138" s="198">
        <f t="shared" si="188"/>
        <v>228</v>
      </c>
      <c r="AI138" s="198"/>
      <c r="AJ138" s="198"/>
      <c r="AK138" s="198"/>
      <c r="AL138" s="198"/>
      <c r="AM138" s="199">
        <f>AL138*1.12</f>
        <v>0</v>
      </c>
      <c r="AN138" s="198"/>
      <c r="AO138" s="199"/>
      <c r="AP138" s="199"/>
      <c r="AQ138" s="199"/>
      <c r="AR138" s="200" t="str">
        <f t="shared" si="28"/>
        <v/>
      </c>
      <c r="AS138" s="201"/>
      <c r="AT138" s="201"/>
      <c r="AU138" s="201"/>
      <c r="AV138" s="199">
        <f>E129-AV129-AV132-AV135</f>
        <v>988596</v>
      </c>
      <c r="AW138" s="199">
        <f t="shared" si="178"/>
        <v>1107227.52</v>
      </c>
      <c r="AX138" s="199">
        <f>H129-AX129-AX132-AX135</f>
        <v>-312</v>
      </c>
      <c r="AY138" s="199"/>
      <c r="AZ138" s="199"/>
      <c r="BA138" s="199"/>
      <c r="BB138" s="199"/>
      <c r="BC138" s="199"/>
      <c r="BD138" s="199"/>
      <c r="BE138" s="199"/>
      <c r="BF138" s="199"/>
      <c r="BG138" s="199"/>
      <c r="BH138" s="199"/>
      <c r="BI138" s="199"/>
      <c r="BJ138" s="199"/>
      <c r="BK138" s="199"/>
      <c r="BL138" s="199"/>
      <c r="BM138" s="203"/>
      <c r="BN138" s="203"/>
      <c r="BO138" s="202"/>
      <c r="BP138" s="202"/>
      <c r="BQ138" s="202"/>
      <c r="BR138" s="203"/>
      <c r="BS138" s="203"/>
      <c r="BT138" s="202"/>
      <c r="BW138" s="202"/>
      <c r="BX138" s="205"/>
    </row>
    <row r="139" spans="1:76" s="97" customFormat="1" x14ac:dyDescent="0.25">
      <c r="A139" s="416"/>
      <c r="B139" s="429"/>
      <c r="C139" s="117" t="s">
        <v>71</v>
      </c>
      <c r="D139" s="117" t="s">
        <v>72</v>
      </c>
      <c r="E139" s="163"/>
      <c r="F139" s="163"/>
      <c r="G139" s="403"/>
      <c r="H139" s="405"/>
      <c r="I139" s="161"/>
      <c r="J139" s="161"/>
      <c r="K139" s="397"/>
      <c r="L139" s="445"/>
      <c r="M139" s="406"/>
      <c r="N139" s="120">
        <f t="shared" si="187"/>
        <v>222505999.99999997</v>
      </c>
      <c r="O139" s="120">
        <f t="shared" si="187"/>
        <v>249206720</v>
      </c>
      <c r="P139" s="120">
        <f t="shared" ref="P139:P140" si="195">Q139/1.12</f>
        <v>222505999.99999997</v>
      </c>
      <c r="Q139" s="120">
        <f>Q138</f>
        <v>249206720</v>
      </c>
      <c r="R139" s="369"/>
      <c r="S139" s="365"/>
      <c r="T139" s="206"/>
      <c r="U139" s="206"/>
      <c r="V139" s="206"/>
      <c r="W139" s="206"/>
      <c r="X139" s="206"/>
      <c r="Y139" s="206"/>
      <c r="Z139" s="119"/>
      <c r="AA139" s="119"/>
      <c r="AB139" s="119"/>
      <c r="AC139" s="217">
        <f>85171.50466/1.12+62929.33537/1.12+22906.03524/1.12</f>
        <v>152684.71006249997</v>
      </c>
      <c r="AD139" s="118">
        <f>AC139*1.12</f>
        <v>171006.87526999999</v>
      </c>
      <c r="AE139" s="119"/>
      <c r="AF139" s="119">
        <f t="shared" si="188"/>
        <v>152684.71006249997</v>
      </c>
      <c r="AG139" s="119">
        <f t="shared" si="188"/>
        <v>171006.87526999999</v>
      </c>
      <c r="AH139" s="119"/>
      <c r="AI139" s="119">
        <f>10412.16271/1.12</f>
        <v>9296.573848214286</v>
      </c>
      <c r="AJ139" s="119">
        <f>AJ140</f>
        <v>10412</v>
      </c>
      <c r="AK139" s="119"/>
      <c r="AL139" s="119">
        <f>10412.16271/1.12</f>
        <v>9296.573848214286</v>
      </c>
      <c r="AM139" s="118">
        <f>AL139*1.12</f>
        <v>10412.162710000001</v>
      </c>
      <c r="AN139" s="119"/>
      <c r="AO139" s="118">
        <f>AL139-AI139</f>
        <v>0</v>
      </c>
      <c r="AP139" s="118">
        <f>AO139*1.12</f>
        <v>0</v>
      </c>
      <c r="AQ139" s="118"/>
      <c r="AR139" s="121">
        <f t="shared" si="28"/>
        <v>1</v>
      </c>
      <c r="AS139" s="122">
        <f>AL139</f>
        <v>9296.573848214286</v>
      </c>
      <c r="AT139" s="122"/>
      <c r="AU139" s="122"/>
      <c r="AV139" s="118">
        <f>E130-AV130-AV133-AV136</f>
        <v>988596</v>
      </c>
      <c r="AW139" s="118">
        <f t="shared" si="178"/>
        <v>1107227.52</v>
      </c>
      <c r="AX139" s="118"/>
      <c r="AY139" s="118"/>
      <c r="AZ139" s="118"/>
      <c r="BA139" s="118"/>
      <c r="BB139" s="118"/>
      <c r="BC139" s="118"/>
      <c r="BD139" s="118"/>
      <c r="BE139" s="118"/>
      <c r="BF139" s="118"/>
      <c r="BG139" s="118"/>
      <c r="BH139" s="118"/>
      <c r="BI139" s="118"/>
      <c r="BJ139" s="118"/>
      <c r="BK139" s="118"/>
      <c r="BL139" s="118"/>
      <c r="BM139" s="207"/>
      <c r="BN139" s="207"/>
      <c r="BO139" s="100"/>
      <c r="BP139" s="100"/>
      <c r="BQ139" s="100"/>
      <c r="BR139" s="207"/>
      <c r="BS139" s="207"/>
      <c r="BT139" s="100"/>
      <c r="BU139" s="97">
        <v>7473083.46</v>
      </c>
      <c r="BW139" s="100"/>
      <c r="BX139" s="101"/>
    </row>
    <row r="140" spans="1:76" x14ac:dyDescent="0.25">
      <c r="A140" s="416"/>
      <c r="B140" s="429"/>
      <c r="C140" s="124" t="s">
        <v>71</v>
      </c>
      <c r="D140" s="124" t="s">
        <v>73</v>
      </c>
      <c r="E140" s="167"/>
      <c r="F140" s="167"/>
      <c r="G140" s="403"/>
      <c r="H140" s="405"/>
      <c r="I140" s="166"/>
      <c r="J140" s="166"/>
      <c r="K140" s="398"/>
      <c r="L140" s="445"/>
      <c r="M140" s="406"/>
      <c r="N140" s="127">
        <f t="shared" si="187"/>
        <v>222505999.99999997</v>
      </c>
      <c r="O140" s="127">
        <f t="shared" si="187"/>
        <v>249206720</v>
      </c>
      <c r="P140" s="127">
        <f t="shared" si="195"/>
        <v>222505999.99999997</v>
      </c>
      <c r="Q140" s="127">
        <f>Q139</f>
        <v>249206720</v>
      </c>
      <c r="R140" s="369"/>
      <c r="S140" s="365"/>
      <c r="T140" s="37"/>
      <c r="U140" s="37"/>
      <c r="V140" s="37"/>
      <c r="W140" s="37"/>
      <c r="X140" s="37"/>
      <c r="Y140" s="37"/>
      <c r="Z140" s="126"/>
      <c r="AA140" s="126"/>
      <c r="AB140" s="126"/>
      <c r="AC140" s="126">
        <f>AC139</f>
        <v>152684.71006249997</v>
      </c>
      <c r="AD140" s="125">
        <f>AC140*1.12</f>
        <v>171006.87526999999</v>
      </c>
      <c r="AE140" s="126"/>
      <c r="AF140" s="126">
        <f t="shared" si="188"/>
        <v>152684.71006249997</v>
      </c>
      <c r="AG140" s="126">
        <f t="shared" si="188"/>
        <v>171006.87526999999</v>
      </c>
      <c r="AH140" s="126"/>
      <c r="AI140" s="126">
        <f>10412/1.12</f>
        <v>9296.4285714285706</v>
      </c>
      <c r="AJ140" s="126">
        <f>AI140*1.12</f>
        <v>10412</v>
      </c>
      <c r="AK140" s="126"/>
      <c r="AL140" s="126">
        <f>AL139</f>
        <v>9296.573848214286</v>
      </c>
      <c r="AM140" s="125">
        <f>AL140*1.12</f>
        <v>10412.162710000001</v>
      </c>
      <c r="AN140" s="126"/>
      <c r="AO140" s="125">
        <f>AO139</f>
        <v>0</v>
      </c>
      <c r="AP140" s="125">
        <f>AP139</f>
        <v>0</v>
      </c>
      <c r="AQ140" s="125"/>
      <c r="AR140" s="128">
        <f t="shared" si="28"/>
        <v>1.0000156271609681</v>
      </c>
      <c r="AS140" s="129">
        <f>AL140</f>
        <v>9296.573848214286</v>
      </c>
      <c r="AT140" s="129"/>
      <c r="AU140" s="129"/>
      <c r="AV140" s="125">
        <f>AV139</f>
        <v>988596</v>
      </c>
      <c r="AW140" s="125">
        <f t="shared" si="178"/>
        <v>1107227.52</v>
      </c>
      <c r="AX140" s="125"/>
      <c r="AY140" s="125"/>
      <c r="AZ140" s="125"/>
      <c r="BA140" s="125"/>
      <c r="BB140" s="125"/>
      <c r="BC140" s="125"/>
      <c r="BD140" s="125"/>
      <c r="BE140" s="125"/>
      <c r="BF140" s="125"/>
      <c r="BG140" s="125"/>
      <c r="BH140" s="125"/>
      <c r="BI140" s="125"/>
      <c r="BJ140" s="125"/>
      <c r="BK140" s="125"/>
      <c r="BL140" s="125"/>
      <c r="BM140" s="208"/>
      <c r="BN140" s="208"/>
      <c r="BO140" s="25"/>
      <c r="BP140" s="25"/>
      <c r="BQ140" s="25"/>
      <c r="BR140" s="208"/>
      <c r="BS140" s="208"/>
      <c r="BT140" s="25"/>
      <c r="BW140" s="25"/>
      <c r="BX140" s="26"/>
    </row>
    <row r="141" spans="1:76" s="204" customFormat="1" x14ac:dyDescent="0.25">
      <c r="A141" s="416"/>
      <c r="B141" s="429"/>
      <c r="C141" s="193" t="s">
        <v>69</v>
      </c>
      <c r="D141" s="193" t="s">
        <v>70</v>
      </c>
      <c r="E141" s="194"/>
      <c r="F141" s="194"/>
      <c r="G141" s="403"/>
      <c r="H141" s="405"/>
      <c r="I141" s="195"/>
      <c r="J141" s="218"/>
      <c r="K141" s="396" t="s">
        <v>106</v>
      </c>
      <c r="L141" s="391" t="s">
        <v>107</v>
      </c>
      <c r="M141" s="406" t="s">
        <v>96</v>
      </c>
      <c r="N141" s="196">
        <f t="shared" si="187"/>
        <v>226247480.26785713</v>
      </c>
      <c r="O141" s="196">
        <f t="shared" si="187"/>
        <v>253397177.90000001</v>
      </c>
      <c r="P141" s="219">
        <f>Q141/1.12</f>
        <v>226247480.26785713</v>
      </c>
      <c r="Q141" s="196">
        <v>253397177.90000001</v>
      </c>
      <c r="R141" s="369" t="s">
        <v>119</v>
      </c>
      <c r="S141" s="365">
        <v>239</v>
      </c>
      <c r="T141" s="214"/>
      <c r="U141" s="214"/>
      <c r="V141" s="214"/>
      <c r="W141" s="214"/>
      <c r="X141" s="214"/>
      <c r="Y141" s="214"/>
      <c r="Z141" s="198"/>
      <c r="AA141" s="198"/>
      <c r="AB141" s="198"/>
      <c r="AC141" s="198">
        <f>111105+58543</f>
        <v>169648</v>
      </c>
      <c r="AD141" s="199">
        <f>AC141*1.12</f>
        <v>190005.76000000001</v>
      </c>
      <c r="AE141" s="198">
        <f>106+75+58</f>
        <v>239</v>
      </c>
      <c r="AF141" s="198">
        <f t="shared" si="188"/>
        <v>169648</v>
      </c>
      <c r="AG141" s="198">
        <f t="shared" si="188"/>
        <v>190005.76000000001</v>
      </c>
      <c r="AH141" s="198">
        <f t="shared" si="188"/>
        <v>239</v>
      </c>
      <c r="AI141" s="198"/>
      <c r="AJ141" s="198"/>
      <c r="AK141" s="198"/>
      <c r="AL141" s="198"/>
      <c r="AM141" s="199">
        <f>AL141*1.12</f>
        <v>0</v>
      </c>
      <c r="AN141" s="198"/>
      <c r="AO141" s="199"/>
      <c r="AP141" s="199"/>
      <c r="AQ141" s="199"/>
      <c r="AR141" s="200" t="str">
        <f t="shared" si="28"/>
        <v/>
      </c>
      <c r="AS141" s="201"/>
      <c r="AT141" s="201"/>
      <c r="AU141" s="201"/>
      <c r="AV141" s="199"/>
      <c r="AW141" s="199">
        <f t="shared" si="178"/>
        <v>0</v>
      </c>
      <c r="AX141" s="199"/>
      <c r="AY141" s="199"/>
      <c r="AZ141" s="199"/>
      <c r="BA141" s="199"/>
      <c r="BB141" s="199"/>
      <c r="BC141" s="199"/>
      <c r="BD141" s="199"/>
      <c r="BE141" s="199"/>
      <c r="BF141" s="199"/>
      <c r="BG141" s="199"/>
      <c r="BH141" s="199"/>
      <c r="BI141" s="199"/>
      <c r="BJ141" s="199"/>
      <c r="BK141" s="199"/>
      <c r="BL141" s="199"/>
      <c r="BM141" s="203"/>
      <c r="BN141" s="203"/>
      <c r="BO141" s="202"/>
      <c r="BP141" s="202"/>
      <c r="BQ141" s="202"/>
      <c r="BR141" s="203"/>
      <c r="BS141" s="203"/>
      <c r="BT141" s="202"/>
      <c r="BW141" s="202"/>
      <c r="BX141" s="205"/>
    </row>
    <row r="142" spans="1:76" s="97" customFormat="1" x14ac:dyDescent="0.25">
      <c r="A142" s="416"/>
      <c r="B142" s="429"/>
      <c r="C142" s="117" t="s">
        <v>71</v>
      </c>
      <c r="D142" s="117" t="s">
        <v>72</v>
      </c>
      <c r="E142" s="163"/>
      <c r="F142" s="163"/>
      <c r="G142" s="403"/>
      <c r="H142" s="405"/>
      <c r="I142" s="161"/>
      <c r="J142" s="220"/>
      <c r="K142" s="397"/>
      <c r="L142" s="392"/>
      <c r="M142" s="406"/>
      <c r="N142" s="120">
        <f t="shared" si="187"/>
        <v>226247480.26785713</v>
      </c>
      <c r="O142" s="120">
        <f t="shared" si="187"/>
        <v>253397177.90000001</v>
      </c>
      <c r="P142" s="221">
        <f>Q142/1.12</f>
        <v>226247480.26785713</v>
      </c>
      <c r="Q142" s="120">
        <f>Q141</f>
        <v>253397177.90000001</v>
      </c>
      <c r="R142" s="369"/>
      <c r="S142" s="365"/>
      <c r="T142" s="206"/>
      <c r="U142" s="206"/>
      <c r="V142" s="206"/>
      <c r="W142" s="206"/>
      <c r="X142" s="206"/>
      <c r="Y142" s="206"/>
      <c r="Z142" s="119"/>
      <c r="AA142" s="119"/>
      <c r="AB142" s="119"/>
      <c r="AC142" s="222">
        <f>118439.71612/1.12</f>
        <v>105749.74653571428</v>
      </c>
      <c r="AD142" s="118">
        <f>AC142*1.12</f>
        <v>118439.71612</v>
      </c>
      <c r="AE142" s="119"/>
      <c r="AF142" s="119">
        <f t="shared" si="188"/>
        <v>105749.74653571428</v>
      </c>
      <c r="AG142" s="119">
        <f t="shared" si="188"/>
        <v>118439.71612</v>
      </c>
      <c r="AH142" s="119"/>
      <c r="AI142" s="119">
        <f>38844.21175/1.12</f>
        <v>34682.331919642857</v>
      </c>
      <c r="AJ142" s="119">
        <f>AJ143</f>
        <v>38844</v>
      </c>
      <c r="AK142" s="119"/>
      <c r="AL142" s="119">
        <f>38844.21175/1.12</f>
        <v>34682.331919642857</v>
      </c>
      <c r="AM142" s="118">
        <f>AL142*1.12</f>
        <v>38844.211750000002</v>
      </c>
      <c r="AN142" s="119"/>
      <c r="AO142" s="118">
        <f>AL142-AI142</f>
        <v>0</v>
      </c>
      <c r="AP142" s="118">
        <f>AO142*1.12</f>
        <v>0</v>
      </c>
      <c r="AQ142" s="118"/>
      <c r="AR142" s="121">
        <f t="shared" si="28"/>
        <v>1</v>
      </c>
      <c r="AS142" s="122">
        <f>AL142</f>
        <v>34682.331919642857</v>
      </c>
      <c r="AT142" s="122"/>
      <c r="AU142" s="122"/>
      <c r="AV142" s="118">
        <f>AL142</f>
        <v>34682.331919642857</v>
      </c>
      <c r="AW142" s="118">
        <f t="shared" si="178"/>
        <v>38844.211750000002</v>
      </c>
      <c r="AX142" s="118"/>
      <c r="AY142" s="118"/>
      <c r="AZ142" s="118"/>
      <c r="BA142" s="118"/>
      <c r="BB142" s="118"/>
      <c r="BC142" s="118"/>
      <c r="BD142" s="118"/>
      <c r="BE142" s="118"/>
      <c r="BF142" s="118"/>
      <c r="BG142" s="118"/>
      <c r="BH142" s="118"/>
      <c r="BI142" s="118"/>
      <c r="BJ142" s="118"/>
      <c r="BK142" s="118"/>
      <c r="BL142" s="118"/>
      <c r="BM142" s="207"/>
      <c r="BN142" s="207"/>
      <c r="BO142" s="100"/>
      <c r="BP142" s="100"/>
      <c r="BQ142" s="100"/>
      <c r="BR142" s="207"/>
      <c r="BS142" s="207"/>
      <c r="BT142" s="100"/>
      <c r="BW142" s="100"/>
      <c r="BX142" s="101"/>
    </row>
    <row r="143" spans="1:76" x14ac:dyDescent="0.25">
      <c r="A143" s="416"/>
      <c r="B143" s="429"/>
      <c r="C143" s="124" t="s">
        <v>71</v>
      </c>
      <c r="D143" s="124" t="s">
        <v>73</v>
      </c>
      <c r="E143" s="167"/>
      <c r="F143" s="167"/>
      <c r="G143" s="403"/>
      <c r="H143" s="405"/>
      <c r="I143" s="166"/>
      <c r="J143" s="223"/>
      <c r="K143" s="398"/>
      <c r="L143" s="393"/>
      <c r="M143" s="406"/>
      <c r="N143" s="127">
        <f t="shared" si="187"/>
        <v>226247480.26785713</v>
      </c>
      <c r="O143" s="127">
        <f t="shared" si="187"/>
        <v>253397177.90000001</v>
      </c>
      <c r="P143" s="224">
        <f>Q143/1.12</f>
        <v>226247480.26785713</v>
      </c>
      <c r="Q143" s="127">
        <f>Q142</f>
        <v>253397177.90000001</v>
      </c>
      <c r="R143" s="369"/>
      <c r="S143" s="365"/>
      <c r="T143" s="37"/>
      <c r="U143" s="37"/>
      <c r="V143" s="37"/>
      <c r="W143" s="37"/>
      <c r="X143" s="37"/>
      <c r="Y143" s="37"/>
      <c r="Z143" s="126"/>
      <c r="AA143" s="126"/>
      <c r="AB143" s="126"/>
      <c r="AC143" s="126">
        <f>AC142</f>
        <v>105749.74653571428</v>
      </c>
      <c r="AD143" s="125">
        <f>AD142</f>
        <v>118439.71612</v>
      </c>
      <c r="AE143" s="126"/>
      <c r="AF143" s="126">
        <f t="shared" si="188"/>
        <v>105749.74653571428</v>
      </c>
      <c r="AG143" s="126">
        <f t="shared" si="188"/>
        <v>118439.71612</v>
      </c>
      <c r="AH143" s="126"/>
      <c r="AI143" s="126">
        <f>38844/1.12</f>
        <v>34682.142857142855</v>
      </c>
      <c r="AJ143" s="126">
        <f>AI143*1.12</f>
        <v>38844</v>
      </c>
      <c r="AK143" s="126"/>
      <c r="AL143" s="126">
        <f>AL142</f>
        <v>34682.331919642857</v>
      </c>
      <c r="AM143" s="125">
        <f>AM142</f>
        <v>38844.211750000002</v>
      </c>
      <c r="AN143" s="126"/>
      <c r="AO143" s="125">
        <f>AO142</f>
        <v>0</v>
      </c>
      <c r="AP143" s="125">
        <f>AP142</f>
        <v>0</v>
      </c>
      <c r="AQ143" s="125"/>
      <c r="AR143" s="128">
        <f t="shared" si="28"/>
        <v>1.0000054512923489</v>
      </c>
      <c r="AS143" s="129">
        <f>AL143</f>
        <v>34682.331919642857</v>
      </c>
      <c r="AT143" s="129"/>
      <c r="AU143" s="129"/>
      <c r="AV143" s="125">
        <f>AL143</f>
        <v>34682.331919642857</v>
      </c>
      <c r="AW143" s="125">
        <f t="shared" si="178"/>
        <v>38844.211750000002</v>
      </c>
      <c r="AX143" s="125"/>
      <c r="AY143" s="125"/>
      <c r="AZ143" s="125"/>
      <c r="BA143" s="125"/>
      <c r="BB143" s="125"/>
      <c r="BC143" s="125"/>
      <c r="BD143" s="125"/>
      <c r="BE143" s="125"/>
      <c r="BF143" s="125"/>
      <c r="BG143" s="125"/>
      <c r="BH143" s="125"/>
      <c r="BI143" s="125"/>
      <c r="BJ143" s="125"/>
      <c r="BK143" s="125"/>
      <c r="BL143" s="125"/>
      <c r="BM143" s="208"/>
      <c r="BN143" s="208"/>
      <c r="BO143" s="25"/>
      <c r="BP143" s="25"/>
      <c r="BQ143" s="25"/>
      <c r="BR143" s="208"/>
      <c r="BS143" s="208"/>
      <c r="BT143" s="25"/>
      <c r="BW143" s="25"/>
      <c r="BX143" s="26"/>
    </row>
    <row r="144" spans="1:76" s="204" customFormat="1" x14ac:dyDescent="0.25">
      <c r="A144" s="416"/>
      <c r="B144" s="429"/>
      <c r="C144" s="193" t="s">
        <v>69</v>
      </c>
      <c r="D144" s="193" t="s">
        <v>70</v>
      </c>
      <c r="E144" s="194"/>
      <c r="F144" s="194"/>
      <c r="G144" s="403"/>
      <c r="H144" s="405"/>
      <c r="I144" s="195"/>
      <c r="J144" s="218"/>
      <c r="K144" s="449" t="s">
        <v>115</v>
      </c>
      <c r="L144" s="450" t="s">
        <v>120</v>
      </c>
      <c r="M144" s="372" t="s">
        <v>96</v>
      </c>
      <c r="N144" s="196">
        <f t="shared" si="187"/>
        <v>162977999.99999997</v>
      </c>
      <c r="O144" s="196">
        <f t="shared" si="187"/>
        <v>182535360</v>
      </c>
      <c r="P144" s="219">
        <f>Q144/1.12</f>
        <v>162977999.99999997</v>
      </c>
      <c r="Q144" s="196">
        <v>182535360</v>
      </c>
      <c r="R144" s="369" t="s">
        <v>119</v>
      </c>
      <c r="S144" s="365">
        <v>167</v>
      </c>
      <c r="T144" s="214"/>
      <c r="U144" s="214"/>
      <c r="V144" s="214"/>
      <c r="W144" s="214"/>
      <c r="X144" s="214"/>
      <c r="Y144" s="214"/>
      <c r="Z144" s="198"/>
      <c r="AA144" s="198"/>
      <c r="AB144" s="198"/>
      <c r="AC144" s="198">
        <v>155443</v>
      </c>
      <c r="AD144" s="199">
        <f t="shared" ref="AD144:AD152" si="196">AC144*1.12</f>
        <v>174096.16</v>
      </c>
      <c r="AE144" s="198">
        <f>10+5+38+22+41+51</f>
        <v>167</v>
      </c>
      <c r="AF144" s="198">
        <f t="shared" si="188"/>
        <v>155443</v>
      </c>
      <c r="AG144" s="198">
        <f t="shared" si="188"/>
        <v>174096.16</v>
      </c>
      <c r="AH144" s="198">
        <f t="shared" si="188"/>
        <v>167</v>
      </c>
      <c r="AI144" s="198"/>
      <c r="AJ144" s="198"/>
      <c r="AK144" s="198"/>
      <c r="AL144" s="198"/>
      <c r="AM144" s="199">
        <f t="shared" ref="AM144:AM152" si="197">AL144*1.12</f>
        <v>0</v>
      </c>
      <c r="AN144" s="198"/>
      <c r="AO144" s="199"/>
      <c r="AP144" s="199"/>
      <c r="AQ144" s="199"/>
      <c r="AR144" s="200" t="str">
        <f t="shared" si="28"/>
        <v/>
      </c>
      <c r="AS144" s="201"/>
      <c r="AT144" s="201"/>
      <c r="AU144" s="201"/>
      <c r="AV144" s="199"/>
      <c r="AW144" s="199">
        <f t="shared" si="178"/>
        <v>0</v>
      </c>
      <c r="AX144" s="199"/>
      <c r="AY144" s="199"/>
      <c r="AZ144" s="199"/>
      <c r="BA144" s="199"/>
      <c r="BB144" s="199"/>
      <c r="BC144" s="199"/>
      <c r="BD144" s="199"/>
      <c r="BE144" s="199"/>
      <c r="BF144" s="199"/>
      <c r="BG144" s="199"/>
      <c r="BH144" s="199"/>
      <c r="BI144" s="199"/>
      <c r="BJ144" s="199"/>
      <c r="BK144" s="199"/>
      <c r="BL144" s="199"/>
      <c r="BM144" s="203"/>
      <c r="BN144" s="203"/>
      <c r="BO144" s="202"/>
      <c r="BP144" s="202"/>
      <c r="BQ144" s="202"/>
      <c r="BR144" s="203"/>
      <c r="BS144" s="203"/>
      <c r="BT144" s="202"/>
      <c r="BW144" s="202"/>
      <c r="BX144" s="205"/>
    </row>
    <row r="145" spans="1:76" s="97" customFormat="1" x14ac:dyDescent="0.25">
      <c r="A145" s="416"/>
      <c r="B145" s="429"/>
      <c r="C145" s="117" t="s">
        <v>71</v>
      </c>
      <c r="D145" s="117" t="s">
        <v>72</v>
      </c>
      <c r="E145" s="163"/>
      <c r="F145" s="163"/>
      <c r="G145" s="403"/>
      <c r="H145" s="405"/>
      <c r="I145" s="161"/>
      <c r="J145" s="220"/>
      <c r="K145" s="449"/>
      <c r="L145" s="451"/>
      <c r="M145" s="373"/>
      <c r="N145" s="120">
        <f t="shared" ref="N145:O152" si="198">P145</f>
        <v>162977999.99999997</v>
      </c>
      <c r="O145" s="120">
        <f t="shared" si="198"/>
        <v>182535360</v>
      </c>
      <c r="P145" s="221">
        <f t="shared" ref="P145:P146" si="199">Q145/1.12</f>
        <v>162977999.99999997</v>
      </c>
      <c r="Q145" s="120">
        <f>Q144</f>
        <v>182535360</v>
      </c>
      <c r="R145" s="369"/>
      <c r="S145" s="365"/>
      <c r="T145" s="206"/>
      <c r="U145" s="206"/>
      <c r="V145" s="206"/>
      <c r="W145" s="206"/>
      <c r="X145" s="206"/>
      <c r="Y145" s="206"/>
      <c r="Z145" s="119"/>
      <c r="AA145" s="119"/>
      <c r="AB145" s="119"/>
      <c r="AC145" s="222">
        <f>2790.34442/1.12+29069.56315/1.12+18594.40886/1.12+6936.13872/1.12</f>
        <v>51241.477812500001</v>
      </c>
      <c r="AD145" s="118">
        <f t="shared" si="196"/>
        <v>57390.455150000009</v>
      </c>
      <c r="AE145" s="119"/>
      <c r="AF145" s="119">
        <f t="shared" ref="AF145:AH152" si="200">Z145+AC145</f>
        <v>51241.477812500001</v>
      </c>
      <c r="AG145" s="119">
        <f t="shared" si="200"/>
        <v>57390.455150000009</v>
      </c>
      <c r="AH145" s="119"/>
      <c r="AI145" s="119">
        <f>42344.95771/1.12+59841.7512/1.12</f>
        <v>91238.132955357141</v>
      </c>
      <c r="AJ145" s="119">
        <f>AJ146</f>
        <v>102186.99999999999</v>
      </c>
      <c r="AK145" s="119"/>
      <c r="AL145" s="119">
        <f>42344.95771/1.12+59841.7512/1.12</f>
        <v>91238.132955357141</v>
      </c>
      <c r="AM145" s="118">
        <f t="shared" si="197"/>
        <v>102186.70891</v>
      </c>
      <c r="AN145" s="119"/>
      <c r="AO145" s="118">
        <f>AL145-AI145</f>
        <v>0</v>
      </c>
      <c r="AP145" s="118">
        <f>AO145*1.12</f>
        <v>0</v>
      </c>
      <c r="AQ145" s="118"/>
      <c r="AR145" s="121">
        <f t="shared" si="28"/>
        <v>1</v>
      </c>
      <c r="AS145" s="122">
        <f>AL145</f>
        <v>91238.132955357141</v>
      </c>
      <c r="AT145" s="122"/>
      <c r="AU145" s="122"/>
      <c r="AV145" s="118">
        <f>AL145</f>
        <v>91238.132955357141</v>
      </c>
      <c r="AW145" s="118">
        <f t="shared" si="178"/>
        <v>102186.70891</v>
      </c>
      <c r="AX145" s="118"/>
      <c r="AY145" s="118"/>
      <c r="AZ145" s="118"/>
      <c r="BA145" s="118"/>
      <c r="BB145" s="118"/>
      <c r="BC145" s="118"/>
      <c r="BD145" s="118"/>
      <c r="BE145" s="118"/>
      <c r="BF145" s="118"/>
      <c r="BG145" s="118"/>
      <c r="BH145" s="118"/>
      <c r="BI145" s="118"/>
      <c r="BJ145" s="118"/>
      <c r="BK145" s="118"/>
      <c r="BL145" s="118"/>
      <c r="BM145" s="207"/>
      <c r="BN145" s="207"/>
      <c r="BO145" s="100"/>
      <c r="BP145" s="100"/>
      <c r="BQ145" s="100"/>
      <c r="BR145" s="207"/>
      <c r="BS145" s="207"/>
      <c r="BT145" s="100"/>
      <c r="BU145" s="97">
        <v>2828835.66</v>
      </c>
      <c r="BV145" s="97">
        <v>32524934.399999999</v>
      </c>
      <c r="BW145" s="100"/>
      <c r="BX145" s="101"/>
    </row>
    <row r="146" spans="1:76" x14ac:dyDescent="0.25">
      <c r="A146" s="416"/>
      <c r="B146" s="429"/>
      <c r="C146" s="124" t="s">
        <v>71</v>
      </c>
      <c r="D146" s="124" t="s">
        <v>73</v>
      </c>
      <c r="E146" s="167"/>
      <c r="F146" s="167"/>
      <c r="G146" s="403"/>
      <c r="H146" s="405"/>
      <c r="I146" s="166"/>
      <c r="J146" s="223"/>
      <c r="K146" s="449"/>
      <c r="L146" s="452"/>
      <c r="M146" s="374"/>
      <c r="N146" s="127">
        <f t="shared" si="198"/>
        <v>162977999.99999997</v>
      </c>
      <c r="O146" s="127">
        <f t="shared" si="198"/>
        <v>182535360</v>
      </c>
      <c r="P146" s="224">
        <f t="shared" si="199"/>
        <v>162977999.99999997</v>
      </c>
      <c r="Q146" s="127">
        <f>Q145</f>
        <v>182535360</v>
      </c>
      <c r="R146" s="369"/>
      <c r="S146" s="365"/>
      <c r="T146" s="37"/>
      <c r="U146" s="37"/>
      <c r="V146" s="37"/>
      <c r="W146" s="37"/>
      <c r="X146" s="37"/>
      <c r="Y146" s="37"/>
      <c r="Z146" s="126"/>
      <c r="AA146" s="126"/>
      <c r="AB146" s="126"/>
      <c r="AC146" s="126">
        <f>AC145</f>
        <v>51241.477812500001</v>
      </c>
      <c r="AD146" s="125">
        <f t="shared" si="196"/>
        <v>57390.455150000009</v>
      </c>
      <c r="AE146" s="126"/>
      <c r="AF146" s="126">
        <f t="shared" si="200"/>
        <v>51241.477812500001</v>
      </c>
      <c r="AG146" s="126">
        <f t="shared" si="200"/>
        <v>57390.455150000009</v>
      </c>
      <c r="AH146" s="126"/>
      <c r="AI146" s="126">
        <f>42345/1.12+59842/1.12</f>
        <v>91238.392857142841</v>
      </c>
      <c r="AJ146" s="126">
        <f>AI146*1.12</f>
        <v>102186.99999999999</v>
      </c>
      <c r="AK146" s="126"/>
      <c r="AL146" s="126">
        <f>AL145</f>
        <v>91238.132955357141</v>
      </c>
      <c r="AM146" s="125">
        <f t="shared" si="197"/>
        <v>102186.70891</v>
      </c>
      <c r="AN146" s="126"/>
      <c r="AO146" s="125">
        <f>AO145</f>
        <v>0</v>
      </c>
      <c r="AP146" s="125">
        <f>AP145</f>
        <v>0</v>
      </c>
      <c r="AQ146" s="125"/>
      <c r="AR146" s="128">
        <f t="shared" si="28"/>
        <v>0.9999971513989061</v>
      </c>
      <c r="AS146" s="129">
        <f>AL146</f>
        <v>91238.132955357141</v>
      </c>
      <c r="AT146" s="129"/>
      <c r="AU146" s="129"/>
      <c r="AV146" s="125">
        <f>AL146</f>
        <v>91238.132955357141</v>
      </c>
      <c r="AW146" s="125">
        <f t="shared" si="178"/>
        <v>102186.70891</v>
      </c>
      <c r="AX146" s="125"/>
      <c r="AY146" s="125"/>
      <c r="AZ146" s="125"/>
      <c r="BA146" s="125"/>
      <c r="BB146" s="125"/>
      <c r="BC146" s="125"/>
      <c r="BD146" s="125"/>
      <c r="BE146" s="125"/>
      <c r="BF146" s="125"/>
      <c r="BG146" s="125"/>
      <c r="BH146" s="125"/>
      <c r="BI146" s="125"/>
      <c r="BJ146" s="125"/>
      <c r="BK146" s="125"/>
      <c r="BL146" s="125"/>
      <c r="BM146" s="208"/>
      <c r="BN146" s="208"/>
      <c r="BO146" s="25"/>
      <c r="BP146" s="25"/>
      <c r="BQ146" s="25"/>
      <c r="BR146" s="208"/>
      <c r="BS146" s="208"/>
      <c r="BT146" s="25"/>
      <c r="BW146" s="25"/>
      <c r="BX146" s="26"/>
    </row>
    <row r="147" spans="1:76" s="204" customFormat="1" x14ac:dyDescent="0.25">
      <c r="A147" s="416"/>
      <c r="B147" s="429"/>
      <c r="C147" s="193" t="s">
        <v>69</v>
      </c>
      <c r="D147" s="193"/>
      <c r="E147" s="194"/>
      <c r="F147" s="194"/>
      <c r="G147" s="403"/>
      <c r="H147" s="405"/>
      <c r="I147" s="195"/>
      <c r="J147" s="218"/>
      <c r="K147" s="396" t="s">
        <v>111</v>
      </c>
      <c r="L147" s="445" t="s">
        <v>121</v>
      </c>
      <c r="M147" s="406" t="s">
        <v>96</v>
      </c>
      <c r="N147" s="196">
        <f t="shared" si="198"/>
        <v>6831425.9999999991</v>
      </c>
      <c r="O147" s="196">
        <f t="shared" si="198"/>
        <v>7651197.1200000001</v>
      </c>
      <c r="P147" s="196">
        <f>Q147/1.12</f>
        <v>6831425.9999999991</v>
      </c>
      <c r="Q147" s="196">
        <v>7651197.1200000001</v>
      </c>
      <c r="R147" s="369" t="s">
        <v>118</v>
      </c>
      <c r="S147" s="365">
        <v>7</v>
      </c>
      <c r="T147" s="214"/>
      <c r="U147" s="214"/>
      <c r="V147" s="214"/>
      <c r="W147" s="214"/>
      <c r="X147" s="214"/>
      <c r="Y147" s="214"/>
      <c r="Z147" s="198"/>
      <c r="AA147" s="198"/>
      <c r="AB147" s="198"/>
      <c r="AC147" s="198">
        <v>4361</v>
      </c>
      <c r="AD147" s="199">
        <f t="shared" si="196"/>
        <v>4884.3200000000006</v>
      </c>
      <c r="AE147" s="198">
        <v>7</v>
      </c>
      <c r="AF147" s="198">
        <f t="shared" si="200"/>
        <v>4361</v>
      </c>
      <c r="AG147" s="198">
        <f t="shared" si="200"/>
        <v>4884.3200000000006</v>
      </c>
      <c r="AH147" s="198">
        <f t="shared" si="200"/>
        <v>7</v>
      </c>
      <c r="AI147" s="198"/>
      <c r="AJ147" s="198"/>
      <c r="AK147" s="198"/>
      <c r="AL147" s="198"/>
      <c r="AM147" s="199">
        <f t="shared" si="197"/>
        <v>0</v>
      </c>
      <c r="AN147" s="198"/>
      <c r="AO147" s="199"/>
      <c r="AP147" s="199"/>
      <c r="AQ147" s="199"/>
      <c r="AR147" s="200" t="str">
        <f t="shared" si="28"/>
        <v/>
      </c>
      <c r="AS147" s="201"/>
      <c r="AT147" s="201"/>
      <c r="AU147" s="201"/>
      <c r="AV147" s="199"/>
      <c r="AW147" s="199">
        <f t="shared" si="178"/>
        <v>0</v>
      </c>
      <c r="AX147" s="199"/>
      <c r="AY147" s="199"/>
      <c r="AZ147" s="199"/>
      <c r="BA147" s="199"/>
      <c r="BB147" s="199"/>
      <c r="BC147" s="199"/>
      <c r="BD147" s="199"/>
      <c r="BE147" s="199"/>
      <c r="BF147" s="199"/>
      <c r="BG147" s="199"/>
      <c r="BH147" s="199"/>
      <c r="BI147" s="199"/>
      <c r="BJ147" s="199"/>
      <c r="BK147" s="199"/>
      <c r="BL147" s="199"/>
      <c r="BM147" s="203"/>
      <c r="BN147" s="203"/>
      <c r="BO147" s="202"/>
      <c r="BP147" s="202"/>
      <c r="BQ147" s="202"/>
      <c r="BR147" s="203"/>
      <c r="BS147" s="203"/>
      <c r="BT147" s="202"/>
      <c r="BW147" s="202"/>
      <c r="BX147" s="205"/>
    </row>
    <row r="148" spans="1:76" s="97" customFormat="1" x14ac:dyDescent="0.25">
      <c r="A148" s="416"/>
      <c r="B148" s="429"/>
      <c r="C148" s="117" t="s">
        <v>71</v>
      </c>
      <c r="D148" s="117"/>
      <c r="E148" s="163"/>
      <c r="F148" s="163"/>
      <c r="G148" s="403"/>
      <c r="H148" s="405"/>
      <c r="I148" s="161"/>
      <c r="J148" s="220"/>
      <c r="K148" s="397"/>
      <c r="L148" s="445"/>
      <c r="M148" s="406"/>
      <c r="N148" s="120">
        <f t="shared" si="198"/>
        <v>6831425.9999999991</v>
      </c>
      <c r="O148" s="120">
        <f t="shared" si="198"/>
        <v>7651197.1200000001</v>
      </c>
      <c r="P148" s="120">
        <f t="shared" ref="P148:P149" si="201">Q148/1.12</f>
        <v>6831425.9999999991</v>
      </c>
      <c r="Q148" s="120">
        <f>Q147</f>
        <v>7651197.1200000001</v>
      </c>
      <c r="R148" s="369"/>
      <c r="S148" s="365"/>
      <c r="T148" s="206"/>
      <c r="U148" s="206"/>
      <c r="V148" s="206"/>
      <c r="W148" s="206"/>
      <c r="X148" s="206"/>
      <c r="Y148" s="206"/>
      <c r="Z148" s="119"/>
      <c r="AA148" s="119"/>
      <c r="AB148" s="119"/>
      <c r="AC148" s="119"/>
      <c r="AD148" s="118">
        <f t="shared" si="196"/>
        <v>0</v>
      </c>
      <c r="AE148" s="119"/>
      <c r="AF148" s="119">
        <f t="shared" si="200"/>
        <v>0</v>
      </c>
      <c r="AG148" s="119">
        <f t="shared" si="200"/>
        <v>0</v>
      </c>
      <c r="AH148" s="119"/>
      <c r="AI148" s="119">
        <f>4391.87/1.12</f>
        <v>3921.3124999999995</v>
      </c>
      <c r="AJ148" s="119">
        <f>AI148*1.12</f>
        <v>4391.87</v>
      </c>
      <c r="AK148" s="119"/>
      <c r="AL148" s="119">
        <f>4391.87/1.12</f>
        <v>3921.3124999999995</v>
      </c>
      <c r="AM148" s="118">
        <f t="shared" si="197"/>
        <v>4391.87</v>
      </c>
      <c r="AN148" s="119"/>
      <c r="AO148" s="118">
        <f>AL148-AI148</f>
        <v>0</v>
      </c>
      <c r="AP148" s="118">
        <f>AO148*1.12</f>
        <v>0</v>
      </c>
      <c r="AQ148" s="118"/>
      <c r="AR148" s="121">
        <f t="shared" si="28"/>
        <v>1</v>
      </c>
      <c r="AS148" s="122">
        <f>AL148</f>
        <v>3921.3124999999995</v>
      </c>
      <c r="AT148" s="122"/>
      <c r="AU148" s="122"/>
      <c r="AV148" s="118"/>
      <c r="AW148" s="118">
        <f t="shared" si="178"/>
        <v>0</v>
      </c>
      <c r="AX148" s="118"/>
      <c r="AY148" s="118"/>
      <c r="AZ148" s="118"/>
      <c r="BA148" s="118"/>
      <c r="BB148" s="118"/>
      <c r="BC148" s="118"/>
      <c r="BD148" s="118"/>
      <c r="BE148" s="118"/>
      <c r="BF148" s="118"/>
      <c r="BG148" s="118"/>
      <c r="BH148" s="118"/>
      <c r="BI148" s="118"/>
      <c r="BJ148" s="118"/>
      <c r="BK148" s="118"/>
      <c r="BL148" s="118"/>
      <c r="BM148" s="207"/>
      <c r="BN148" s="207"/>
      <c r="BO148" s="100"/>
      <c r="BP148" s="100"/>
      <c r="BQ148" s="100"/>
      <c r="BR148" s="207"/>
      <c r="BS148" s="207"/>
      <c r="BT148" s="100"/>
      <c r="BU148" s="97">
        <v>11851025.76</v>
      </c>
      <c r="BW148" s="100"/>
      <c r="BX148" s="101"/>
    </row>
    <row r="149" spans="1:76" x14ac:dyDescent="0.25">
      <c r="A149" s="416"/>
      <c r="B149" s="429"/>
      <c r="C149" s="124" t="s">
        <v>71</v>
      </c>
      <c r="D149" s="124"/>
      <c r="E149" s="167"/>
      <c r="F149" s="167"/>
      <c r="G149" s="403"/>
      <c r="H149" s="405"/>
      <c r="I149" s="166"/>
      <c r="J149" s="223"/>
      <c r="K149" s="398"/>
      <c r="L149" s="445"/>
      <c r="M149" s="406"/>
      <c r="N149" s="127">
        <f t="shared" si="198"/>
        <v>6831425.9999999991</v>
      </c>
      <c r="O149" s="127">
        <f t="shared" si="198"/>
        <v>7651197.1200000001</v>
      </c>
      <c r="P149" s="127">
        <f t="shared" si="201"/>
        <v>6831425.9999999991</v>
      </c>
      <c r="Q149" s="127">
        <f>Q148</f>
        <v>7651197.1200000001</v>
      </c>
      <c r="R149" s="369"/>
      <c r="S149" s="365"/>
      <c r="T149" s="37"/>
      <c r="U149" s="37"/>
      <c r="V149" s="37"/>
      <c r="W149" s="37"/>
      <c r="X149" s="37"/>
      <c r="Y149" s="37"/>
      <c r="Z149" s="126"/>
      <c r="AA149" s="126"/>
      <c r="AB149" s="126"/>
      <c r="AC149" s="126">
        <f>AC148</f>
        <v>0</v>
      </c>
      <c r="AD149" s="125">
        <f t="shared" si="196"/>
        <v>0</v>
      </c>
      <c r="AE149" s="126"/>
      <c r="AF149" s="126">
        <f t="shared" si="200"/>
        <v>0</v>
      </c>
      <c r="AG149" s="126">
        <f t="shared" si="200"/>
        <v>0</v>
      </c>
      <c r="AH149" s="126"/>
      <c r="AI149" s="126">
        <f>AI148</f>
        <v>3921.3124999999995</v>
      </c>
      <c r="AJ149" s="126">
        <f>AJ148</f>
        <v>4391.87</v>
      </c>
      <c r="AK149" s="126"/>
      <c r="AL149" s="126">
        <f>AL148</f>
        <v>3921.3124999999995</v>
      </c>
      <c r="AM149" s="125">
        <f t="shared" si="197"/>
        <v>4391.87</v>
      </c>
      <c r="AN149" s="126"/>
      <c r="AO149" s="125">
        <f>AO148</f>
        <v>0</v>
      </c>
      <c r="AP149" s="125">
        <f>AP148</f>
        <v>0</v>
      </c>
      <c r="AQ149" s="125"/>
      <c r="AR149" s="128">
        <f t="shared" si="28"/>
        <v>1</v>
      </c>
      <c r="AS149" s="129">
        <f>AL149</f>
        <v>3921.3124999999995</v>
      </c>
      <c r="AT149" s="129"/>
      <c r="AU149" s="129"/>
      <c r="AV149" s="125">
        <f>AV148</f>
        <v>0</v>
      </c>
      <c r="AW149" s="125">
        <f t="shared" si="178"/>
        <v>0</v>
      </c>
      <c r="AX149" s="125"/>
      <c r="AY149" s="125"/>
      <c r="AZ149" s="125"/>
      <c r="BA149" s="125"/>
      <c r="BB149" s="125"/>
      <c r="BC149" s="125"/>
      <c r="BD149" s="125"/>
      <c r="BE149" s="125"/>
      <c r="BF149" s="125"/>
      <c r="BG149" s="125"/>
      <c r="BH149" s="125"/>
      <c r="BI149" s="125"/>
      <c r="BJ149" s="125"/>
      <c r="BK149" s="125"/>
      <c r="BL149" s="125"/>
      <c r="BM149" s="208"/>
      <c r="BN149" s="208"/>
      <c r="BO149" s="25"/>
      <c r="BP149" s="25"/>
      <c r="BQ149" s="25"/>
      <c r="BR149" s="208"/>
      <c r="BS149" s="208"/>
      <c r="BT149" s="25"/>
      <c r="BW149" s="25"/>
      <c r="BX149" s="26"/>
    </row>
    <row r="150" spans="1:76" s="204" customFormat="1" hidden="1" outlineLevel="1" x14ac:dyDescent="0.25">
      <c r="A150" s="416"/>
      <c r="B150" s="429"/>
      <c r="C150" s="193" t="s">
        <v>69</v>
      </c>
      <c r="D150" s="193"/>
      <c r="E150" s="194"/>
      <c r="F150" s="194"/>
      <c r="G150" s="403"/>
      <c r="H150" s="405"/>
      <c r="I150" s="195"/>
      <c r="J150" s="218"/>
      <c r="K150" s="418"/>
      <c r="L150" s="369"/>
      <c r="M150" s="406" t="s">
        <v>96</v>
      </c>
      <c r="N150" s="196">
        <f t="shared" si="198"/>
        <v>0</v>
      </c>
      <c r="O150" s="196">
        <f t="shared" si="198"/>
        <v>0</v>
      </c>
      <c r="P150" s="196">
        <f>Q150/1.12</f>
        <v>0</v>
      </c>
      <c r="Q150" s="196"/>
      <c r="R150" s="369"/>
      <c r="S150" s="365"/>
      <c r="T150" s="214"/>
      <c r="U150" s="214"/>
      <c r="V150" s="214"/>
      <c r="W150" s="214"/>
      <c r="X150" s="214"/>
      <c r="Y150" s="214"/>
      <c r="Z150" s="198"/>
      <c r="AA150" s="198"/>
      <c r="AB150" s="198"/>
      <c r="AC150" s="195"/>
      <c r="AD150" s="199">
        <f t="shared" si="196"/>
        <v>0</v>
      </c>
      <c r="AE150" s="198"/>
      <c r="AF150" s="198">
        <f t="shared" si="200"/>
        <v>0</v>
      </c>
      <c r="AG150" s="198">
        <f t="shared" si="200"/>
        <v>0</v>
      </c>
      <c r="AH150" s="198">
        <f t="shared" si="200"/>
        <v>0</v>
      </c>
      <c r="AI150" s="198"/>
      <c r="AJ150" s="198"/>
      <c r="AK150" s="198"/>
      <c r="AL150" s="195"/>
      <c r="AM150" s="199">
        <f t="shared" si="197"/>
        <v>0</v>
      </c>
      <c r="AN150" s="198"/>
      <c r="AO150" s="199"/>
      <c r="AP150" s="199"/>
      <c r="AQ150" s="199"/>
      <c r="AR150" s="200" t="str">
        <f t="shared" si="28"/>
        <v/>
      </c>
      <c r="AS150" s="201"/>
      <c r="AT150" s="201"/>
      <c r="AU150" s="201"/>
      <c r="AV150" s="199"/>
      <c r="AW150" s="199">
        <f t="shared" si="178"/>
        <v>0</v>
      </c>
      <c r="AX150" s="199"/>
      <c r="AY150" s="199"/>
      <c r="AZ150" s="199"/>
      <c r="BA150" s="199"/>
      <c r="BB150" s="199"/>
      <c r="BC150" s="199"/>
      <c r="BD150" s="199"/>
      <c r="BE150" s="199"/>
      <c r="BF150" s="199"/>
      <c r="BG150" s="199"/>
      <c r="BH150" s="199"/>
      <c r="BI150" s="199"/>
      <c r="BJ150" s="199"/>
      <c r="BK150" s="199"/>
      <c r="BL150" s="199"/>
      <c r="BM150" s="203"/>
      <c r="BN150" s="203"/>
      <c r="BO150" s="202"/>
      <c r="BP150" s="202"/>
      <c r="BQ150" s="202"/>
      <c r="BR150" s="203"/>
      <c r="BS150" s="203"/>
      <c r="BT150" s="202"/>
      <c r="BW150" s="202"/>
      <c r="BX150" s="205"/>
    </row>
    <row r="151" spans="1:76" s="97" customFormat="1" hidden="1" outlineLevel="1" x14ac:dyDescent="0.25">
      <c r="A151" s="416"/>
      <c r="B151" s="429"/>
      <c r="C151" s="117" t="s">
        <v>71</v>
      </c>
      <c r="D151" s="117"/>
      <c r="E151" s="163"/>
      <c r="F151" s="163"/>
      <c r="G151" s="403"/>
      <c r="H151" s="405"/>
      <c r="I151" s="161"/>
      <c r="J151" s="220"/>
      <c r="K151" s="418"/>
      <c r="L151" s="369"/>
      <c r="M151" s="406"/>
      <c r="N151" s="120">
        <f t="shared" si="198"/>
        <v>0</v>
      </c>
      <c r="O151" s="120">
        <f t="shared" si="198"/>
        <v>0</v>
      </c>
      <c r="P151" s="120">
        <f t="shared" ref="P151:P152" si="202">Q151/1.12</f>
        <v>0</v>
      </c>
      <c r="Q151" s="120">
        <f>Q150</f>
        <v>0</v>
      </c>
      <c r="R151" s="369"/>
      <c r="S151" s="365"/>
      <c r="T151" s="206"/>
      <c r="U151" s="206"/>
      <c r="V151" s="206"/>
      <c r="W151" s="206"/>
      <c r="X151" s="206"/>
      <c r="Y151" s="206"/>
      <c r="Z151" s="119"/>
      <c r="AA151" s="119"/>
      <c r="AB151" s="119"/>
      <c r="AC151" s="119"/>
      <c r="AD151" s="118">
        <f t="shared" si="196"/>
        <v>0</v>
      </c>
      <c r="AE151" s="119"/>
      <c r="AF151" s="119">
        <f t="shared" si="200"/>
        <v>0</v>
      </c>
      <c r="AG151" s="119">
        <f t="shared" si="200"/>
        <v>0</v>
      </c>
      <c r="AH151" s="119">
        <f t="shared" si="200"/>
        <v>0</v>
      </c>
      <c r="AI151" s="119"/>
      <c r="AJ151" s="119"/>
      <c r="AK151" s="119"/>
      <c r="AL151" s="119"/>
      <c r="AM151" s="118">
        <f t="shared" si="197"/>
        <v>0</v>
      </c>
      <c r="AN151" s="119"/>
      <c r="AO151" s="118">
        <f>AL151-AI151</f>
        <v>0</v>
      </c>
      <c r="AP151" s="118">
        <f>AO151*1.12</f>
        <v>0</v>
      </c>
      <c r="AQ151" s="118"/>
      <c r="AR151" s="121" t="str">
        <f t="shared" si="28"/>
        <v/>
      </c>
      <c r="AS151" s="122">
        <f>AL151</f>
        <v>0</v>
      </c>
      <c r="AT151" s="122"/>
      <c r="AU151" s="122"/>
      <c r="AV151" s="118"/>
      <c r="AW151" s="118">
        <f t="shared" si="178"/>
        <v>0</v>
      </c>
      <c r="AX151" s="118"/>
      <c r="AY151" s="118"/>
      <c r="AZ151" s="118"/>
      <c r="BA151" s="118"/>
      <c r="BB151" s="118"/>
      <c r="BC151" s="118"/>
      <c r="BD151" s="118"/>
      <c r="BE151" s="118"/>
      <c r="BF151" s="118"/>
      <c r="BG151" s="118"/>
      <c r="BH151" s="118"/>
      <c r="BI151" s="118"/>
      <c r="BJ151" s="118"/>
      <c r="BK151" s="118"/>
      <c r="BL151" s="118"/>
      <c r="BM151" s="207"/>
      <c r="BN151" s="207"/>
      <c r="BO151" s="100"/>
      <c r="BP151" s="100"/>
      <c r="BQ151" s="100"/>
      <c r="BR151" s="207"/>
      <c r="BS151" s="207"/>
      <c r="BT151" s="100"/>
      <c r="BU151" s="97">
        <v>17925712.559999999</v>
      </c>
      <c r="BW151" s="100"/>
      <c r="BX151" s="101"/>
    </row>
    <row r="152" spans="1:76" hidden="1" outlineLevel="1" x14ac:dyDescent="0.25">
      <c r="A152" s="356"/>
      <c r="B152" s="430"/>
      <c r="C152" s="124" t="s">
        <v>71</v>
      </c>
      <c r="D152" s="124"/>
      <c r="E152" s="167"/>
      <c r="F152" s="225"/>
      <c r="G152" s="403"/>
      <c r="H152" s="405"/>
      <c r="I152" s="166"/>
      <c r="J152" s="223"/>
      <c r="K152" s="418"/>
      <c r="L152" s="369"/>
      <c r="M152" s="406"/>
      <c r="N152" s="127">
        <f t="shared" si="198"/>
        <v>0</v>
      </c>
      <c r="O152" s="127">
        <f t="shared" si="198"/>
        <v>0</v>
      </c>
      <c r="P152" s="127">
        <f t="shared" si="202"/>
        <v>0</v>
      </c>
      <c r="Q152" s="127">
        <f>Q151</f>
        <v>0</v>
      </c>
      <c r="R152" s="369"/>
      <c r="S152" s="365"/>
      <c r="T152" s="37"/>
      <c r="U152" s="37"/>
      <c r="V152" s="37"/>
      <c r="W152" s="37"/>
      <c r="X152" s="37"/>
      <c r="Y152" s="37"/>
      <c r="Z152" s="126"/>
      <c r="AA152" s="126"/>
      <c r="AB152" s="126"/>
      <c r="AC152" s="126">
        <f>AC151</f>
        <v>0</v>
      </c>
      <c r="AD152" s="125">
        <f t="shared" si="196"/>
        <v>0</v>
      </c>
      <c r="AE152" s="126"/>
      <c r="AF152" s="126">
        <f t="shared" si="200"/>
        <v>0</v>
      </c>
      <c r="AG152" s="126">
        <f t="shared" si="200"/>
        <v>0</v>
      </c>
      <c r="AH152" s="126">
        <f t="shared" si="200"/>
        <v>0</v>
      </c>
      <c r="AI152" s="126"/>
      <c r="AJ152" s="126"/>
      <c r="AK152" s="126"/>
      <c r="AL152" s="126">
        <f>AL151</f>
        <v>0</v>
      </c>
      <c r="AM152" s="125">
        <f t="shared" si="197"/>
        <v>0</v>
      </c>
      <c r="AN152" s="126"/>
      <c r="AO152" s="125">
        <f>AO151</f>
        <v>0</v>
      </c>
      <c r="AP152" s="125">
        <f>AP151</f>
        <v>0</v>
      </c>
      <c r="AQ152" s="125"/>
      <c r="AR152" s="128" t="str">
        <f t="shared" si="28"/>
        <v/>
      </c>
      <c r="AS152" s="129">
        <f>AL152</f>
        <v>0</v>
      </c>
      <c r="AT152" s="129"/>
      <c r="AU152" s="129"/>
      <c r="AV152" s="125">
        <f>AV151</f>
        <v>0</v>
      </c>
      <c r="AW152" s="125">
        <f t="shared" si="178"/>
        <v>0</v>
      </c>
      <c r="AX152" s="125"/>
      <c r="AY152" s="125"/>
      <c r="AZ152" s="125"/>
      <c r="BA152" s="125"/>
      <c r="BB152" s="125"/>
      <c r="BC152" s="125"/>
      <c r="BD152" s="125"/>
      <c r="BE152" s="125"/>
      <c r="BF152" s="125"/>
      <c r="BG152" s="125"/>
      <c r="BH152" s="125"/>
      <c r="BI152" s="125"/>
      <c r="BJ152" s="125"/>
      <c r="BK152" s="125"/>
      <c r="BL152" s="125"/>
      <c r="BM152" s="208"/>
      <c r="BN152" s="208"/>
      <c r="BO152" s="25"/>
      <c r="BP152" s="25"/>
      <c r="BQ152" s="25"/>
      <c r="BR152" s="208"/>
      <c r="BS152" s="208"/>
      <c r="BT152" s="25"/>
      <c r="BW152" s="25"/>
      <c r="BX152" s="26"/>
    </row>
    <row r="153" spans="1:76" s="189" customFormat="1" collapsed="1" x14ac:dyDescent="0.25">
      <c r="A153" s="355">
        <v>4</v>
      </c>
      <c r="B153" s="353" t="s">
        <v>122</v>
      </c>
      <c r="C153" s="180"/>
      <c r="D153" s="180"/>
      <c r="E153" s="182">
        <f>E155+E158+E161+E164+E167+E173+E170</f>
        <v>1002115</v>
      </c>
      <c r="F153" s="182">
        <f>F155+F158+F161+F164+F167+F173+F170</f>
        <v>1122368.8</v>
      </c>
      <c r="G153" s="191"/>
      <c r="H153" s="209">
        <f>H155</f>
        <v>0</v>
      </c>
      <c r="I153" s="182">
        <f>I155+I158+I161+I164+I167+I173+I170</f>
        <v>0</v>
      </c>
      <c r="J153" s="182">
        <f>J155+J158+J161+J164+J167+J173+J170</f>
        <v>0</v>
      </c>
      <c r="K153" s="407" t="s">
        <v>123</v>
      </c>
      <c r="L153" s="408"/>
      <c r="M153" s="417" t="s">
        <v>96</v>
      </c>
      <c r="N153" s="183">
        <f>N155+N158+N161+N164+N167+N173+N170</f>
        <v>763875185.27678573</v>
      </c>
      <c r="O153" s="183">
        <f t="shared" ref="O153:Q154" si="203">O155+O158+O161+O164+O167+O173+O170</f>
        <v>855540207.50999999</v>
      </c>
      <c r="P153" s="183">
        <f t="shared" si="203"/>
        <v>763875185.27678573</v>
      </c>
      <c r="Q153" s="183">
        <f t="shared" si="203"/>
        <v>855540207.50999999</v>
      </c>
      <c r="R153" s="210"/>
      <c r="S153" s="413">
        <f>S155+S158+S161+S164+S167+S173+S170</f>
        <v>613</v>
      </c>
      <c r="T153" s="192">
        <f>T155+T158+T161+T164+T167+T173+T170</f>
        <v>0</v>
      </c>
      <c r="U153" s="192">
        <f t="shared" ref="U153:AH154" si="204">U155+U158+U161+U164+U167+U173+U170</f>
        <v>0</v>
      </c>
      <c r="V153" s="192">
        <f t="shared" si="204"/>
        <v>0</v>
      </c>
      <c r="W153" s="192">
        <f t="shared" si="204"/>
        <v>0</v>
      </c>
      <c r="X153" s="192">
        <f t="shared" si="204"/>
        <v>0</v>
      </c>
      <c r="Y153" s="192">
        <f t="shared" si="204"/>
        <v>0</v>
      </c>
      <c r="Z153" s="192">
        <f t="shared" si="204"/>
        <v>0</v>
      </c>
      <c r="AA153" s="192">
        <f t="shared" si="204"/>
        <v>0</v>
      </c>
      <c r="AB153" s="192">
        <f t="shared" si="204"/>
        <v>0</v>
      </c>
      <c r="AC153" s="192">
        <f t="shared" si="204"/>
        <v>670465</v>
      </c>
      <c r="AD153" s="192">
        <f t="shared" si="204"/>
        <v>750920.8</v>
      </c>
      <c r="AE153" s="192">
        <f t="shared" si="204"/>
        <v>613</v>
      </c>
      <c r="AF153" s="192">
        <f t="shared" si="204"/>
        <v>670465</v>
      </c>
      <c r="AG153" s="192">
        <f t="shared" si="204"/>
        <v>750920.8</v>
      </c>
      <c r="AH153" s="192">
        <f t="shared" si="204"/>
        <v>613</v>
      </c>
      <c r="AI153" s="192">
        <f>AI155+AI158+AI161+AI164+AI167+AI173+AI170</f>
        <v>0</v>
      </c>
      <c r="AJ153" s="192">
        <f t="shared" ref="AJ153:AN154" si="205">AJ155+AJ158+AJ161+AJ164+AJ167+AJ173+AJ170</f>
        <v>0</v>
      </c>
      <c r="AK153" s="192">
        <f t="shared" si="205"/>
        <v>0</v>
      </c>
      <c r="AL153" s="192">
        <f>AL155+AL158+AL161+AL164+AL167+AL173+AL170</f>
        <v>0</v>
      </c>
      <c r="AM153" s="192">
        <f t="shared" si="205"/>
        <v>0</v>
      </c>
      <c r="AN153" s="192">
        <f t="shared" si="205"/>
        <v>0</v>
      </c>
      <c r="AO153" s="188">
        <f>AL153-AI153</f>
        <v>0</v>
      </c>
      <c r="AP153" s="188">
        <f t="shared" ref="AP153:AP154" si="206">AM153-AJ153</f>
        <v>0</v>
      </c>
      <c r="AQ153" s="188">
        <f>AQ155+AQ158+AQ161+AQ164+AQ167+AQ173+AQ170</f>
        <v>0</v>
      </c>
      <c r="AR153" s="185" t="str">
        <f t="shared" ref="AR153:AR203" si="207">IF(AI153=0,"",AL153/AI153)</f>
        <v/>
      </c>
      <c r="AS153" s="211">
        <f>AS155+AS158+AS161+AS164+AS167+AS173+AS170</f>
        <v>0</v>
      </c>
      <c r="AT153" s="211">
        <f t="shared" ref="AT153:AU154" si="208">AT155+AT158+AT161+AT164+AT167+AT173+AT170</f>
        <v>0</v>
      </c>
      <c r="AU153" s="211">
        <f t="shared" si="208"/>
        <v>0</v>
      </c>
      <c r="AV153" s="188">
        <f>AV155+AV158+AV161+AV164+AV167+AV173+AV170</f>
        <v>1002115</v>
      </c>
      <c r="AW153" s="188">
        <f t="shared" ref="AW153:BL154" si="209">AW155+AW158+AW161+AW164+AW167+AW173+AW170</f>
        <v>1122368.8</v>
      </c>
      <c r="AX153" s="188">
        <f t="shared" si="209"/>
        <v>0</v>
      </c>
      <c r="AY153" s="188">
        <f t="shared" si="209"/>
        <v>0</v>
      </c>
      <c r="AZ153" s="188">
        <f t="shared" si="209"/>
        <v>0</v>
      </c>
      <c r="BA153" s="188">
        <f t="shared" si="209"/>
        <v>0</v>
      </c>
      <c r="BB153" s="188">
        <f t="shared" si="209"/>
        <v>0</v>
      </c>
      <c r="BC153" s="188">
        <f t="shared" si="209"/>
        <v>0</v>
      </c>
      <c r="BD153" s="188">
        <f t="shared" si="209"/>
        <v>0</v>
      </c>
      <c r="BE153" s="188">
        <f t="shared" si="209"/>
        <v>0</v>
      </c>
      <c r="BF153" s="188">
        <f t="shared" si="209"/>
        <v>0</v>
      </c>
      <c r="BG153" s="188">
        <f t="shared" si="209"/>
        <v>0</v>
      </c>
      <c r="BH153" s="188">
        <f t="shared" si="209"/>
        <v>0</v>
      </c>
      <c r="BI153" s="188">
        <f t="shared" si="209"/>
        <v>0</v>
      </c>
      <c r="BJ153" s="188">
        <f t="shared" si="209"/>
        <v>0</v>
      </c>
      <c r="BK153" s="188">
        <f t="shared" si="209"/>
        <v>0</v>
      </c>
      <c r="BL153" s="188">
        <f t="shared" si="209"/>
        <v>0</v>
      </c>
      <c r="BM153" s="186" t="s">
        <v>103</v>
      </c>
      <c r="BN153" s="181"/>
      <c r="BO153" s="188">
        <f t="shared" ref="BO153:BQ154" si="210">BO155+BO158+BO161+BO164+BO167+BO173</f>
        <v>0</v>
      </c>
      <c r="BP153" s="188">
        <f t="shared" si="210"/>
        <v>0</v>
      </c>
      <c r="BQ153" s="188">
        <f t="shared" si="210"/>
        <v>0</v>
      </c>
      <c r="BR153" s="212"/>
      <c r="BS153" s="212"/>
      <c r="BT153" s="181"/>
      <c r="BW153" s="181"/>
      <c r="BX153" s="190"/>
    </row>
    <row r="154" spans="1:76" s="189" customFormat="1" x14ac:dyDescent="0.25">
      <c r="A154" s="416"/>
      <c r="B154" s="375"/>
      <c r="C154" s="180"/>
      <c r="D154" s="180"/>
      <c r="E154" s="182">
        <f>E156+E159+E162+E165+E168+E174+E171</f>
        <v>1002115</v>
      </c>
      <c r="F154" s="182">
        <f>F156+F159+F162+F165+F168+F174+F171</f>
        <v>1122368.8</v>
      </c>
      <c r="G154" s="191"/>
      <c r="H154" s="209"/>
      <c r="I154" s="182">
        <f>I156+I159+I162+I165+I168+I174+I171</f>
        <v>182951.78571428571</v>
      </c>
      <c r="J154" s="182">
        <f>J156+J159+J162+J165+J168+J174+J171</f>
        <v>204906.00000000003</v>
      </c>
      <c r="K154" s="409"/>
      <c r="L154" s="410"/>
      <c r="M154" s="417"/>
      <c r="N154" s="183">
        <f>N156+N159+N162+N165+N168+N174+N171</f>
        <v>763875185.27678573</v>
      </c>
      <c r="O154" s="183">
        <f t="shared" si="203"/>
        <v>855540207.50999999</v>
      </c>
      <c r="P154" s="183">
        <f t="shared" si="203"/>
        <v>763875185.27678573</v>
      </c>
      <c r="Q154" s="183">
        <f t="shared" si="203"/>
        <v>855540207.50999999</v>
      </c>
      <c r="R154" s="210"/>
      <c r="S154" s="413"/>
      <c r="T154" s="192">
        <f>T156+T159+T162+T165+T168+T174+T171</f>
        <v>0</v>
      </c>
      <c r="U154" s="192">
        <f t="shared" si="204"/>
        <v>0</v>
      </c>
      <c r="V154" s="192"/>
      <c r="W154" s="192">
        <f t="shared" si="204"/>
        <v>0</v>
      </c>
      <c r="X154" s="192">
        <f t="shared" si="204"/>
        <v>0</v>
      </c>
      <c r="Y154" s="192"/>
      <c r="Z154" s="192">
        <f t="shared" si="204"/>
        <v>0</v>
      </c>
      <c r="AA154" s="192">
        <f t="shared" si="204"/>
        <v>0</v>
      </c>
      <c r="AB154" s="192"/>
      <c r="AC154" s="192">
        <f t="shared" si="204"/>
        <v>399458.29166071425</v>
      </c>
      <c r="AD154" s="192">
        <f t="shared" si="204"/>
        <v>447393.28665999998</v>
      </c>
      <c r="AE154" s="192"/>
      <c r="AF154" s="192">
        <f t="shared" si="204"/>
        <v>399458.29166071425</v>
      </c>
      <c r="AG154" s="192">
        <f t="shared" si="204"/>
        <v>447393.28665999998</v>
      </c>
      <c r="AH154" s="192"/>
      <c r="AI154" s="192">
        <f>AI156+AI159+AI162+AI165+AI168+AI174+AI171</f>
        <v>182951.72450892854</v>
      </c>
      <c r="AJ154" s="192">
        <f t="shared" si="205"/>
        <v>204905.93144999997</v>
      </c>
      <c r="AK154" s="192"/>
      <c r="AL154" s="192">
        <f t="shared" si="205"/>
        <v>182951.72450892854</v>
      </c>
      <c r="AM154" s="192">
        <f t="shared" si="205"/>
        <v>204905.93144999997</v>
      </c>
      <c r="AN154" s="192"/>
      <c r="AO154" s="188">
        <f>AL154-AI154</f>
        <v>0</v>
      </c>
      <c r="AP154" s="188">
        <f t="shared" si="206"/>
        <v>0</v>
      </c>
      <c r="AQ154" s="188"/>
      <c r="AR154" s="185">
        <f t="shared" si="207"/>
        <v>1</v>
      </c>
      <c r="AS154" s="211">
        <f>AS156+AS159+AS162+AS165+AS168+AS174+AS171</f>
        <v>182951.72450892854</v>
      </c>
      <c r="AT154" s="211">
        <f t="shared" si="208"/>
        <v>0</v>
      </c>
      <c r="AU154" s="211">
        <f t="shared" si="208"/>
        <v>0</v>
      </c>
      <c r="AV154" s="188">
        <f>AV156+AV159+AV162+AV165+AV168+AV174+AV171</f>
        <v>1103972.3192767857</v>
      </c>
      <c r="AW154" s="188">
        <f t="shared" si="209"/>
        <v>1236448.99759</v>
      </c>
      <c r="AX154" s="188"/>
      <c r="AY154" s="188">
        <f t="shared" si="209"/>
        <v>0</v>
      </c>
      <c r="AZ154" s="188">
        <f t="shared" si="209"/>
        <v>0</v>
      </c>
      <c r="BA154" s="188">
        <f t="shared" si="209"/>
        <v>0</v>
      </c>
      <c r="BB154" s="188">
        <f t="shared" si="209"/>
        <v>0</v>
      </c>
      <c r="BC154" s="188">
        <f t="shared" si="209"/>
        <v>0</v>
      </c>
      <c r="BD154" s="188">
        <f t="shared" si="209"/>
        <v>0</v>
      </c>
      <c r="BE154" s="188">
        <f t="shared" si="209"/>
        <v>0</v>
      </c>
      <c r="BF154" s="188">
        <f t="shared" si="209"/>
        <v>0</v>
      </c>
      <c r="BG154" s="188">
        <f t="shared" si="209"/>
        <v>0</v>
      </c>
      <c r="BH154" s="188">
        <f t="shared" si="209"/>
        <v>0</v>
      </c>
      <c r="BI154" s="188">
        <f t="shared" si="209"/>
        <v>0</v>
      </c>
      <c r="BJ154" s="188">
        <f t="shared" si="209"/>
        <v>0</v>
      </c>
      <c r="BK154" s="188">
        <f t="shared" si="209"/>
        <v>0</v>
      </c>
      <c r="BL154" s="188">
        <f t="shared" si="209"/>
        <v>0</v>
      </c>
      <c r="BM154" s="181"/>
      <c r="BN154" s="181"/>
      <c r="BO154" s="188">
        <f t="shared" si="210"/>
        <v>0</v>
      </c>
      <c r="BP154" s="188">
        <f t="shared" si="210"/>
        <v>0</v>
      </c>
      <c r="BQ154" s="188">
        <f t="shared" si="210"/>
        <v>0</v>
      </c>
      <c r="BR154" s="212"/>
      <c r="BS154" s="212"/>
      <c r="BT154" s="181"/>
      <c r="BW154" s="181"/>
      <c r="BX154" s="190"/>
    </row>
    <row r="155" spans="1:76" s="204" customFormat="1" x14ac:dyDescent="0.25">
      <c r="A155" s="416"/>
      <c r="B155" s="375"/>
      <c r="C155" s="193" t="s">
        <v>69</v>
      </c>
      <c r="D155" s="193" t="s">
        <v>70</v>
      </c>
      <c r="E155" s="194">
        <v>1002115</v>
      </c>
      <c r="F155" s="194">
        <f t="shared" ref="F155:F157" si="211">E155*1.12</f>
        <v>1122368.8</v>
      </c>
      <c r="G155" s="402">
        <v>1818</v>
      </c>
      <c r="H155" s="404"/>
      <c r="I155" s="195"/>
      <c r="J155" s="195">
        <f>I155*1.12</f>
        <v>0</v>
      </c>
      <c r="K155" s="388" t="s">
        <v>111</v>
      </c>
      <c r="L155" s="391" t="s">
        <v>112</v>
      </c>
      <c r="M155" s="406" t="s">
        <v>96</v>
      </c>
      <c r="N155" s="196">
        <f t="shared" ref="N155:O175" si="212">P155</f>
        <v>93988545.749999985</v>
      </c>
      <c r="O155" s="196">
        <f t="shared" si="212"/>
        <v>105267171.23999999</v>
      </c>
      <c r="P155" s="196">
        <f>Q155/1.12</f>
        <v>93988545.749999985</v>
      </c>
      <c r="Q155" s="196">
        <v>105267171.23999999</v>
      </c>
      <c r="R155" s="353" t="s">
        <v>113</v>
      </c>
      <c r="S155" s="365">
        <v>75</v>
      </c>
      <c r="T155" s="198"/>
      <c r="U155" s="198"/>
      <c r="V155" s="198"/>
      <c r="W155" s="198"/>
      <c r="X155" s="198"/>
      <c r="Y155" s="198"/>
      <c r="Z155" s="198"/>
      <c r="AA155" s="198"/>
      <c r="AB155" s="198"/>
      <c r="AC155" s="198">
        <f>51296+37321</f>
        <v>88617</v>
      </c>
      <c r="AD155" s="199">
        <f>AC155*1.12</f>
        <v>99251.040000000008</v>
      </c>
      <c r="AE155" s="198">
        <f>36+8+31</f>
        <v>75</v>
      </c>
      <c r="AF155" s="198">
        <f t="shared" ref="AF155:AH170" si="213">Z155+AC155</f>
        <v>88617</v>
      </c>
      <c r="AG155" s="198">
        <f t="shared" si="213"/>
        <v>99251.040000000008</v>
      </c>
      <c r="AH155" s="198">
        <f t="shared" si="213"/>
        <v>75</v>
      </c>
      <c r="AI155" s="198"/>
      <c r="AJ155" s="198">
        <f>AI155*1.12</f>
        <v>0</v>
      </c>
      <c r="AK155" s="198"/>
      <c r="AL155" s="198"/>
      <c r="AM155" s="199">
        <f>AL155*1.12</f>
        <v>0</v>
      </c>
      <c r="AN155" s="198"/>
      <c r="AO155" s="199"/>
      <c r="AP155" s="199"/>
      <c r="AQ155" s="199"/>
      <c r="AR155" s="200"/>
      <c r="AS155" s="201"/>
      <c r="AT155" s="201"/>
      <c r="AU155" s="201"/>
      <c r="AV155" s="199">
        <f>ROUND(P155/1000,0)</f>
        <v>93989</v>
      </c>
      <c r="AW155" s="199">
        <f>AV155*1.12</f>
        <v>105267.68000000001</v>
      </c>
      <c r="AX155" s="199">
        <f>S155</f>
        <v>75</v>
      </c>
      <c r="AY155" s="199"/>
      <c r="AZ155" s="199"/>
      <c r="BA155" s="199"/>
      <c r="BB155" s="199"/>
      <c r="BC155" s="199"/>
      <c r="BD155" s="199"/>
      <c r="BE155" s="199"/>
      <c r="BF155" s="199"/>
      <c r="BG155" s="199"/>
      <c r="BH155" s="199"/>
      <c r="BI155" s="199"/>
      <c r="BJ155" s="199"/>
      <c r="BK155" s="199"/>
      <c r="BL155" s="199"/>
      <c r="BM155" s="202"/>
      <c r="BN155" s="202"/>
      <c r="BO155" s="202"/>
      <c r="BP155" s="202"/>
      <c r="BQ155" s="202"/>
      <c r="BR155" s="202"/>
      <c r="BS155" s="202"/>
      <c r="BT155" s="202"/>
      <c r="BW155" s="202"/>
      <c r="BX155" s="205"/>
    </row>
    <row r="156" spans="1:76" s="97" customFormat="1" x14ac:dyDescent="0.25">
      <c r="A156" s="416"/>
      <c r="B156" s="375"/>
      <c r="C156" s="117" t="s">
        <v>71</v>
      </c>
      <c r="D156" s="117" t="s">
        <v>72</v>
      </c>
      <c r="E156" s="163">
        <f>E157</f>
        <v>1002115</v>
      </c>
      <c r="F156" s="163">
        <f t="shared" si="211"/>
        <v>1122368.8</v>
      </c>
      <c r="G156" s="403"/>
      <c r="H156" s="405"/>
      <c r="I156" s="161">
        <f>I157</f>
        <v>182951.78571428571</v>
      </c>
      <c r="J156" s="161">
        <f>I156*1.12</f>
        <v>204906.00000000003</v>
      </c>
      <c r="K156" s="389"/>
      <c r="L156" s="392"/>
      <c r="M156" s="406"/>
      <c r="N156" s="127">
        <f t="shared" si="212"/>
        <v>93988545.749999985</v>
      </c>
      <c r="O156" s="127">
        <f t="shared" si="212"/>
        <v>105267171.23999999</v>
      </c>
      <c r="P156" s="120">
        <f t="shared" ref="P156:P157" si="214">Q156/1.12</f>
        <v>93988545.749999985</v>
      </c>
      <c r="Q156" s="120">
        <f>Q155</f>
        <v>105267171.23999999</v>
      </c>
      <c r="R156" s="375"/>
      <c r="S156" s="365"/>
      <c r="T156" s="37"/>
      <c r="U156" s="37"/>
      <c r="V156" s="37"/>
      <c r="W156" s="37"/>
      <c r="X156" s="37"/>
      <c r="Y156" s="37"/>
      <c r="Z156" s="119"/>
      <c r="AA156" s="119"/>
      <c r="AB156" s="119"/>
      <c r="AC156" s="216">
        <f>10703.09937/1.12+44981.36412/1.12+38855.58331/1.12</f>
        <v>84410.756071428565</v>
      </c>
      <c r="AD156" s="226">
        <f>AC156*1.12</f>
        <v>94540.046799999996</v>
      </c>
      <c r="AE156" s="227"/>
      <c r="AF156" s="119">
        <f t="shared" si="213"/>
        <v>84410.756071428565</v>
      </c>
      <c r="AG156" s="119">
        <f t="shared" si="213"/>
        <v>94540.046799999996</v>
      </c>
      <c r="AH156" s="119"/>
      <c r="AI156" s="119"/>
      <c r="AJ156" s="119">
        <f>AI156*1.12</f>
        <v>0</v>
      </c>
      <c r="AK156" s="119"/>
      <c r="AL156" s="119"/>
      <c r="AM156" s="226">
        <f>AL156*1.12</f>
        <v>0</v>
      </c>
      <c r="AN156" s="227"/>
      <c r="AO156" s="118">
        <f>AL156-AI156</f>
        <v>0</v>
      </c>
      <c r="AP156" s="118">
        <f>AO156*1.12</f>
        <v>0</v>
      </c>
      <c r="AQ156" s="118"/>
      <c r="AR156" s="121"/>
      <c r="AS156" s="122">
        <f>AL156</f>
        <v>0</v>
      </c>
      <c r="AT156" s="122"/>
      <c r="AU156" s="122"/>
      <c r="AV156" s="118">
        <f>ROUND(P156/1000,0)</f>
        <v>93989</v>
      </c>
      <c r="AW156" s="118">
        <f t="shared" ref="AW156:AW157" si="215">AV156*1.12</f>
        <v>105267.68000000001</v>
      </c>
      <c r="AX156" s="118"/>
      <c r="AY156" s="118"/>
      <c r="AZ156" s="118"/>
      <c r="BA156" s="118"/>
      <c r="BB156" s="118"/>
      <c r="BC156" s="118"/>
      <c r="BD156" s="118"/>
      <c r="BE156" s="118"/>
      <c r="BF156" s="118"/>
      <c r="BG156" s="118"/>
      <c r="BH156" s="118"/>
      <c r="BI156" s="118"/>
      <c r="BJ156" s="118"/>
      <c r="BK156" s="118"/>
      <c r="BL156" s="118"/>
      <c r="BM156" s="100"/>
      <c r="BN156" s="100"/>
      <c r="BO156" s="100"/>
      <c r="BP156" s="100"/>
      <c r="BQ156" s="100"/>
      <c r="BR156" s="100"/>
      <c r="BS156" s="100"/>
      <c r="BT156" s="100"/>
      <c r="BU156" s="97">
        <v>20526140.170000002</v>
      </c>
      <c r="BW156" s="100"/>
      <c r="BX156" s="101"/>
    </row>
    <row r="157" spans="1:76" x14ac:dyDescent="0.25">
      <c r="A157" s="416"/>
      <c r="B157" s="375"/>
      <c r="C157" s="124" t="s">
        <v>71</v>
      </c>
      <c r="D157" s="124" t="s">
        <v>73</v>
      </c>
      <c r="E157" s="167">
        <f>E155</f>
        <v>1002115</v>
      </c>
      <c r="F157" s="167">
        <f t="shared" si="211"/>
        <v>1122368.8</v>
      </c>
      <c r="G157" s="403"/>
      <c r="H157" s="405"/>
      <c r="I157" s="167">
        <f>(73685/1.12+4640/1.12+27582/1.12)+(17141/1.12+57422/1.12+24436/1.12)</f>
        <v>182951.78571428571</v>
      </c>
      <c r="J157" s="166">
        <f>J156</f>
        <v>204906.00000000003</v>
      </c>
      <c r="K157" s="390"/>
      <c r="L157" s="393"/>
      <c r="M157" s="406"/>
      <c r="N157" s="127">
        <f t="shared" si="212"/>
        <v>93988545.749999985</v>
      </c>
      <c r="O157" s="127">
        <f t="shared" si="212"/>
        <v>105267171.23999999</v>
      </c>
      <c r="P157" s="127">
        <f t="shared" si="214"/>
        <v>93988545.749999985</v>
      </c>
      <c r="Q157" s="127">
        <f>Q156</f>
        <v>105267171.23999999</v>
      </c>
      <c r="R157" s="375"/>
      <c r="S157" s="365"/>
      <c r="T157" s="37"/>
      <c r="U157" s="37"/>
      <c r="V157" s="37"/>
      <c r="W157" s="37"/>
      <c r="X157" s="37"/>
      <c r="Y157" s="37"/>
      <c r="Z157" s="126"/>
      <c r="AA157" s="126"/>
      <c r="AB157" s="126"/>
      <c r="AC157" s="126">
        <f>AC156</f>
        <v>84410.756071428565</v>
      </c>
      <c r="AD157" s="228">
        <f>AC157*1.12</f>
        <v>94540.046799999996</v>
      </c>
      <c r="AE157" s="229"/>
      <c r="AF157" s="126">
        <f t="shared" si="213"/>
        <v>84410.756071428565</v>
      </c>
      <c r="AG157" s="126">
        <f t="shared" si="213"/>
        <v>94540.046799999996</v>
      </c>
      <c r="AH157" s="126"/>
      <c r="AI157" s="126">
        <f>AI156</f>
        <v>0</v>
      </c>
      <c r="AJ157" s="126">
        <f>AI157*1.12</f>
        <v>0</v>
      </c>
      <c r="AK157" s="126"/>
      <c r="AL157" s="126">
        <f>AL156</f>
        <v>0</v>
      </c>
      <c r="AM157" s="228">
        <f>AL157*1.12</f>
        <v>0</v>
      </c>
      <c r="AN157" s="229"/>
      <c r="AO157" s="125">
        <f>AO156</f>
        <v>0</v>
      </c>
      <c r="AP157" s="125">
        <f>AP156</f>
        <v>0</v>
      </c>
      <c r="AQ157" s="125"/>
      <c r="AR157" s="128"/>
      <c r="AS157" s="129">
        <f>AL157</f>
        <v>0</v>
      </c>
      <c r="AT157" s="129"/>
      <c r="AU157" s="129"/>
      <c r="AV157" s="125">
        <f>AV156</f>
        <v>93989</v>
      </c>
      <c r="AW157" s="125">
        <f t="shared" si="215"/>
        <v>105267.68000000001</v>
      </c>
      <c r="AX157" s="125"/>
      <c r="AY157" s="125"/>
      <c r="AZ157" s="125"/>
      <c r="BA157" s="125"/>
      <c r="BB157" s="125"/>
      <c r="BC157" s="125"/>
      <c r="BD157" s="125"/>
      <c r="BE157" s="125"/>
      <c r="BF157" s="125"/>
      <c r="BG157" s="125"/>
      <c r="BH157" s="125"/>
      <c r="BI157" s="125"/>
      <c r="BJ157" s="125"/>
      <c r="BK157" s="125"/>
      <c r="BL157" s="125"/>
      <c r="BM157" s="25"/>
      <c r="BN157" s="25"/>
      <c r="BO157" s="25"/>
      <c r="BP157" s="25"/>
      <c r="BQ157" s="25"/>
      <c r="BR157" s="25"/>
      <c r="BS157" s="25"/>
      <c r="BT157" s="25"/>
      <c r="BW157" s="25"/>
      <c r="BX157" s="26"/>
    </row>
    <row r="158" spans="1:76" s="204" customFormat="1" collapsed="1" x14ac:dyDescent="0.25">
      <c r="A158" s="416"/>
      <c r="B158" s="375"/>
      <c r="C158" s="193" t="s">
        <v>69</v>
      </c>
      <c r="D158" s="193" t="s">
        <v>70</v>
      </c>
      <c r="E158" s="194"/>
      <c r="F158" s="194"/>
      <c r="G158" s="403"/>
      <c r="H158" s="405"/>
      <c r="I158" s="195"/>
      <c r="J158" s="195"/>
      <c r="K158" s="388" t="s">
        <v>106</v>
      </c>
      <c r="L158" s="391" t="s">
        <v>114</v>
      </c>
      <c r="M158" s="406" t="s">
        <v>96</v>
      </c>
      <c r="N158" s="196">
        <f t="shared" si="212"/>
        <v>71431294.776785716</v>
      </c>
      <c r="O158" s="196">
        <f t="shared" si="212"/>
        <v>80003050.150000006</v>
      </c>
      <c r="P158" s="196">
        <f>Q158/1.12</f>
        <v>71431294.776785716</v>
      </c>
      <c r="Q158" s="196">
        <v>80003050.150000006</v>
      </c>
      <c r="R158" s="375"/>
      <c r="S158" s="365">
        <v>57</v>
      </c>
      <c r="T158" s="214"/>
      <c r="U158" s="214"/>
      <c r="V158" s="214"/>
      <c r="W158" s="214"/>
      <c r="X158" s="214"/>
      <c r="Y158" s="214"/>
      <c r="Z158" s="198"/>
      <c r="AA158" s="198"/>
      <c r="AB158" s="198"/>
      <c r="AC158" s="198">
        <v>58050</v>
      </c>
      <c r="AD158" s="199">
        <f>AC158*1.12</f>
        <v>65016.000000000007</v>
      </c>
      <c r="AE158" s="198">
        <f>8+49</f>
        <v>57</v>
      </c>
      <c r="AF158" s="198">
        <f t="shared" si="213"/>
        <v>58050</v>
      </c>
      <c r="AG158" s="198">
        <f t="shared" si="213"/>
        <v>65016.000000000007</v>
      </c>
      <c r="AH158" s="198">
        <f t="shared" si="213"/>
        <v>57</v>
      </c>
      <c r="AI158" s="198"/>
      <c r="AJ158" s="198"/>
      <c r="AK158" s="198"/>
      <c r="AL158" s="198"/>
      <c r="AM158" s="199">
        <f>AL158*1.12</f>
        <v>0</v>
      </c>
      <c r="AN158" s="198"/>
      <c r="AO158" s="199"/>
      <c r="AP158" s="199"/>
      <c r="AQ158" s="199"/>
      <c r="AR158" s="200" t="str">
        <f t="shared" ref="AR158:AR175" si="216">IF(AI158=0,"",AL158/AI158)</f>
        <v/>
      </c>
      <c r="AS158" s="201"/>
      <c r="AT158" s="201"/>
      <c r="AU158" s="201"/>
      <c r="AV158" s="199">
        <f>ROUND(P158/1000,0)</f>
        <v>71431</v>
      </c>
      <c r="AW158" s="199">
        <f>AV158*1.12</f>
        <v>80002.720000000001</v>
      </c>
      <c r="AX158" s="199">
        <f>S158</f>
        <v>57</v>
      </c>
      <c r="AY158" s="199"/>
      <c r="AZ158" s="199"/>
      <c r="BA158" s="199"/>
      <c r="BB158" s="199"/>
      <c r="BC158" s="199"/>
      <c r="BD158" s="199"/>
      <c r="BE158" s="199"/>
      <c r="BF158" s="199"/>
      <c r="BG158" s="199"/>
      <c r="BH158" s="199"/>
      <c r="BI158" s="199"/>
      <c r="BJ158" s="199"/>
      <c r="BK158" s="199"/>
      <c r="BL158" s="199"/>
      <c r="BM158" s="230"/>
      <c r="BN158" s="230"/>
      <c r="BO158" s="230"/>
      <c r="BP158" s="230"/>
      <c r="BQ158" s="230"/>
      <c r="BR158" s="230"/>
      <c r="BS158" s="230"/>
      <c r="BT158" s="230"/>
      <c r="BW158" s="202"/>
      <c r="BX158" s="205"/>
    </row>
    <row r="159" spans="1:76" s="97" customFormat="1" x14ac:dyDescent="0.25">
      <c r="A159" s="416"/>
      <c r="B159" s="375"/>
      <c r="C159" s="117" t="s">
        <v>71</v>
      </c>
      <c r="D159" s="117" t="s">
        <v>72</v>
      </c>
      <c r="E159" s="163"/>
      <c r="F159" s="163"/>
      <c r="G159" s="403"/>
      <c r="H159" s="405"/>
      <c r="I159" s="161"/>
      <c r="J159" s="161"/>
      <c r="K159" s="389"/>
      <c r="L159" s="392"/>
      <c r="M159" s="406"/>
      <c r="N159" s="127">
        <f t="shared" si="212"/>
        <v>71431294.776785716</v>
      </c>
      <c r="O159" s="127">
        <f t="shared" si="212"/>
        <v>80003050.150000006</v>
      </c>
      <c r="P159" s="120">
        <f t="shared" ref="P159:P166" si="217">Q159/1.12</f>
        <v>71431294.776785716</v>
      </c>
      <c r="Q159" s="120">
        <f>Q158</f>
        <v>80003050.150000006</v>
      </c>
      <c r="R159" s="375"/>
      <c r="S159" s="365"/>
      <c r="T159" s="37"/>
      <c r="U159" s="37"/>
      <c r="V159" s="37"/>
      <c r="W159" s="37"/>
      <c r="X159" s="37"/>
      <c r="Y159" s="37"/>
      <c r="Z159" s="119"/>
      <c r="AA159" s="119"/>
      <c r="AB159" s="119"/>
      <c r="AC159" s="161">
        <f>AD159/1.12</f>
        <v>42772.362035714279</v>
      </c>
      <c r="AD159" s="231">
        <f>6218.63245+41686.41303</f>
        <v>47905.045480000001</v>
      </c>
      <c r="AE159" s="119"/>
      <c r="AF159" s="119">
        <f t="shared" si="213"/>
        <v>42772.362035714279</v>
      </c>
      <c r="AG159" s="119">
        <f t="shared" si="213"/>
        <v>47905.045480000001</v>
      </c>
      <c r="AH159" s="119"/>
      <c r="AI159" s="119"/>
      <c r="AJ159" s="119"/>
      <c r="AK159" s="119"/>
      <c r="AL159" s="161"/>
      <c r="AM159" s="163">
        <f>AL159*1.12</f>
        <v>0</v>
      </c>
      <c r="AN159" s="119"/>
      <c r="AO159" s="118">
        <f>AL159-AI159</f>
        <v>0</v>
      </c>
      <c r="AP159" s="118">
        <f>AO159*1.12</f>
        <v>0</v>
      </c>
      <c r="AQ159" s="118"/>
      <c r="AR159" s="121" t="str">
        <f t="shared" si="216"/>
        <v/>
      </c>
      <c r="AS159" s="122">
        <f>AL159</f>
        <v>0</v>
      </c>
      <c r="AT159" s="122"/>
      <c r="AU159" s="122"/>
      <c r="AV159" s="118">
        <f>ROUND(P159/1000,0)</f>
        <v>71431</v>
      </c>
      <c r="AW159" s="118">
        <f t="shared" ref="AW159:AW160" si="218">AV159*1.12</f>
        <v>80002.720000000001</v>
      </c>
      <c r="AX159" s="118"/>
      <c r="AY159" s="118"/>
      <c r="AZ159" s="118"/>
      <c r="BA159" s="118"/>
      <c r="BB159" s="118"/>
      <c r="BC159" s="118"/>
      <c r="BD159" s="118"/>
      <c r="BE159" s="118"/>
      <c r="BF159" s="118"/>
      <c r="BG159" s="118"/>
      <c r="BH159" s="118"/>
      <c r="BI159" s="118"/>
      <c r="BJ159" s="118"/>
      <c r="BK159" s="118"/>
      <c r="BL159" s="118"/>
      <c r="BM159" s="123"/>
      <c r="BN159" s="123"/>
      <c r="BO159" s="123"/>
      <c r="BP159" s="123"/>
      <c r="BQ159" s="123"/>
      <c r="BR159" s="123"/>
      <c r="BS159" s="123"/>
      <c r="BT159" s="123"/>
      <c r="BW159" s="100"/>
      <c r="BX159" s="101"/>
    </row>
    <row r="160" spans="1:76" x14ac:dyDescent="0.25">
      <c r="A160" s="416"/>
      <c r="B160" s="375"/>
      <c r="C160" s="124" t="s">
        <v>71</v>
      </c>
      <c r="D160" s="124" t="s">
        <v>73</v>
      </c>
      <c r="E160" s="167"/>
      <c r="F160" s="167"/>
      <c r="G160" s="403"/>
      <c r="H160" s="405"/>
      <c r="I160" s="166"/>
      <c r="J160" s="166"/>
      <c r="K160" s="390"/>
      <c r="L160" s="393"/>
      <c r="M160" s="406"/>
      <c r="N160" s="127">
        <f t="shared" si="212"/>
        <v>71431294.776785716</v>
      </c>
      <c r="O160" s="127">
        <f t="shared" si="212"/>
        <v>80003050.150000006</v>
      </c>
      <c r="P160" s="127">
        <f t="shared" si="217"/>
        <v>71431294.776785716</v>
      </c>
      <c r="Q160" s="127">
        <f>Q158</f>
        <v>80003050.150000006</v>
      </c>
      <c r="R160" s="375"/>
      <c r="S160" s="365"/>
      <c r="T160" s="37"/>
      <c r="U160" s="37"/>
      <c r="V160" s="37"/>
      <c r="W160" s="37"/>
      <c r="X160" s="37"/>
      <c r="Y160" s="37"/>
      <c r="Z160" s="126"/>
      <c r="AA160" s="126"/>
      <c r="AB160" s="126"/>
      <c r="AC160" s="126">
        <f>AC159</f>
        <v>42772.362035714279</v>
      </c>
      <c r="AD160" s="125">
        <f>AD159</f>
        <v>47905.045480000001</v>
      </c>
      <c r="AE160" s="126"/>
      <c r="AF160" s="126">
        <f t="shared" si="213"/>
        <v>42772.362035714279</v>
      </c>
      <c r="AG160" s="126">
        <f t="shared" si="213"/>
        <v>47905.045480000001</v>
      </c>
      <c r="AH160" s="126"/>
      <c r="AI160" s="126"/>
      <c r="AJ160" s="126"/>
      <c r="AK160" s="126"/>
      <c r="AL160" s="126">
        <f>AL159</f>
        <v>0</v>
      </c>
      <c r="AM160" s="125">
        <f>AM159</f>
        <v>0</v>
      </c>
      <c r="AN160" s="126"/>
      <c r="AO160" s="125">
        <f>AO159</f>
        <v>0</v>
      </c>
      <c r="AP160" s="125">
        <f>AP159</f>
        <v>0</v>
      </c>
      <c r="AQ160" s="125"/>
      <c r="AR160" s="128" t="str">
        <f t="shared" si="216"/>
        <v/>
      </c>
      <c r="AS160" s="129">
        <f>AL160</f>
        <v>0</v>
      </c>
      <c r="AT160" s="129"/>
      <c r="AU160" s="129"/>
      <c r="AV160" s="125">
        <f>AV159</f>
        <v>71431</v>
      </c>
      <c r="AW160" s="125">
        <f t="shared" si="218"/>
        <v>80002.720000000001</v>
      </c>
      <c r="AX160" s="125"/>
      <c r="AY160" s="118"/>
      <c r="AZ160" s="118"/>
      <c r="BA160" s="118"/>
      <c r="BB160" s="118"/>
      <c r="BC160" s="118"/>
      <c r="BD160" s="118"/>
      <c r="BE160" s="118"/>
      <c r="BF160" s="118"/>
      <c r="BG160" s="118"/>
      <c r="BH160" s="118"/>
      <c r="BI160" s="118"/>
      <c r="BJ160" s="118"/>
      <c r="BK160" s="118"/>
      <c r="BL160" s="118"/>
      <c r="BM160" s="123"/>
      <c r="BN160" s="123"/>
      <c r="BO160" s="123"/>
      <c r="BP160" s="123"/>
      <c r="BQ160" s="123"/>
      <c r="BR160" s="123"/>
      <c r="BS160" s="123"/>
      <c r="BT160" s="123"/>
      <c r="BW160" s="25"/>
      <c r="BX160" s="26"/>
    </row>
    <row r="161" spans="1:76" s="204" customFormat="1" x14ac:dyDescent="0.25">
      <c r="A161" s="416"/>
      <c r="B161" s="375"/>
      <c r="C161" s="193" t="s">
        <v>69</v>
      </c>
      <c r="D161" s="193" t="s">
        <v>70</v>
      </c>
      <c r="E161" s="194"/>
      <c r="F161" s="194">
        <f>E161*1.12</f>
        <v>0</v>
      </c>
      <c r="G161" s="403"/>
      <c r="H161" s="405"/>
      <c r="I161" s="195"/>
      <c r="J161" s="195"/>
      <c r="K161" s="444" t="s">
        <v>115</v>
      </c>
      <c r="L161" s="445" t="s">
        <v>116</v>
      </c>
      <c r="M161" s="406" t="s">
        <v>96</v>
      </c>
      <c r="N161" s="196">
        <f t="shared" si="212"/>
        <v>62659030.499999993</v>
      </c>
      <c r="O161" s="196">
        <f t="shared" si="212"/>
        <v>70178114.159999996</v>
      </c>
      <c r="P161" s="196">
        <f t="shared" si="217"/>
        <v>62659030.499999993</v>
      </c>
      <c r="Q161" s="196">
        <v>70178114.159999996</v>
      </c>
      <c r="R161" s="375"/>
      <c r="S161" s="365">
        <v>50</v>
      </c>
      <c r="T161" s="214"/>
      <c r="U161" s="214"/>
      <c r="V161" s="214"/>
      <c r="W161" s="214"/>
      <c r="X161" s="214"/>
      <c r="Y161" s="214"/>
      <c r="Z161" s="198"/>
      <c r="AA161" s="198"/>
      <c r="AB161" s="198"/>
      <c r="AC161" s="198">
        <v>40366</v>
      </c>
      <c r="AD161" s="199">
        <f>AC161*1.12</f>
        <v>45209.920000000006</v>
      </c>
      <c r="AE161" s="198">
        <f>50</f>
        <v>50</v>
      </c>
      <c r="AF161" s="198">
        <f t="shared" si="213"/>
        <v>40366</v>
      </c>
      <c r="AG161" s="198">
        <f t="shared" si="213"/>
        <v>45209.920000000006</v>
      </c>
      <c r="AH161" s="198">
        <f t="shared" si="213"/>
        <v>50</v>
      </c>
      <c r="AI161" s="198"/>
      <c r="AJ161" s="198"/>
      <c r="AK161" s="198"/>
      <c r="AL161" s="198"/>
      <c r="AM161" s="199">
        <f>AL161*1.12</f>
        <v>0</v>
      </c>
      <c r="AN161" s="198"/>
      <c r="AO161" s="199"/>
      <c r="AP161" s="199"/>
      <c r="AQ161" s="199"/>
      <c r="AR161" s="200" t="str">
        <f t="shared" si="216"/>
        <v/>
      </c>
      <c r="AS161" s="201"/>
      <c r="AT161" s="201"/>
      <c r="AU161" s="201"/>
      <c r="AV161" s="199">
        <f>ROUND(P161/1000,0)</f>
        <v>62659</v>
      </c>
      <c r="AW161" s="199">
        <f>AV161*1.12</f>
        <v>70178.080000000002</v>
      </c>
      <c r="AX161" s="199">
        <f>S161</f>
        <v>50</v>
      </c>
      <c r="AY161" s="199"/>
      <c r="AZ161" s="199"/>
      <c r="BA161" s="199"/>
      <c r="BB161" s="199"/>
      <c r="BC161" s="199"/>
      <c r="BD161" s="199"/>
      <c r="BE161" s="199"/>
      <c r="BF161" s="199"/>
      <c r="BG161" s="199"/>
      <c r="BH161" s="199"/>
      <c r="BI161" s="199"/>
      <c r="BJ161" s="199"/>
      <c r="BK161" s="199"/>
      <c r="BL161" s="199"/>
      <c r="BM161" s="203"/>
      <c r="BN161" s="203"/>
      <c r="BO161" s="202"/>
      <c r="BP161" s="202"/>
      <c r="BQ161" s="202"/>
      <c r="BR161" s="203"/>
      <c r="BS161" s="203"/>
      <c r="BT161" s="202"/>
      <c r="BW161" s="202"/>
      <c r="BX161" s="205"/>
    </row>
    <row r="162" spans="1:76" s="97" customFormat="1" x14ac:dyDescent="0.25">
      <c r="A162" s="416"/>
      <c r="B162" s="375"/>
      <c r="C162" s="117" t="s">
        <v>71</v>
      </c>
      <c r="D162" s="117" t="s">
        <v>72</v>
      </c>
      <c r="E162" s="163"/>
      <c r="F162" s="163">
        <f t="shared" ref="F162:F163" si="219">E162*1.12</f>
        <v>0</v>
      </c>
      <c r="G162" s="403"/>
      <c r="H162" s="405"/>
      <c r="I162" s="161"/>
      <c r="J162" s="161"/>
      <c r="K162" s="444"/>
      <c r="L162" s="445"/>
      <c r="M162" s="406"/>
      <c r="N162" s="127">
        <f t="shared" si="212"/>
        <v>62659030.499999993</v>
      </c>
      <c r="O162" s="127">
        <f t="shared" si="212"/>
        <v>70178114.159999996</v>
      </c>
      <c r="P162" s="120">
        <f t="shared" si="217"/>
        <v>62659030.499999993</v>
      </c>
      <c r="Q162" s="120">
        <f>Q161</f>
        <v>70178114.159999996</v>
      </c>
      <c r="R162" s="375"/>
      <c r="S162" s="365"/>
      <c r="T162" s="37"/>
      <c r="U162" s="37"/>
      <c r="V162" s="37"/>
      <c r="W162" s="37"/>
      <c r="X162" s="37"/>
      <c r="Y162" s="37"/>
      <c r="Z162" s="119"/>
      <c r="AA162" s="119"/>
      <c r="AB162" s="119"/>
      <c r="AC162" s="119">
        <f>45108.38472/1.12</f>
        <v>40275.343499999995</v>
      </c>
      <c r="AD162" s="118">
        <f>AC162*1.12</f>
        <v>45108.384720000002</v>
      </c>
      <c r="AE162" s="119"/>
      <c r="AF162" s="119">
        <f t="shared" si="213"/>
        <v>40275.343499999995</v>
      </c>
      <c r="AG162" s="119">
        <f t="shared" si="213"/>
        <v>45108.384720000002</v>
      </c>
      <c r="AH162" s="119"/>
      <c r="AI162" s="119"/>
      <c r="AJ162" s="119"/>
      <c r="AK162" s="119"/>
      <c r="AL162" s="119"/>
      <c r="AM162" s="118">
        <f>AL162*1.12</f>
        <v>0</v>
      </c>
      <c r="AN162" s="119"/>
      <c r="AO162" s="118">
        <f>AL162-AI162</f>
        <v>0</v>
      </c>
      <c r="AP162" s="118">
        <f>AO162*1.12</f>
        <v>0</v>
      </c>
      <c r="AQ162" s="118"/>
      <c r="AR162" s="121" t="str">
        <f t="shared" si="216"/>
        <v/>
      </c>
      <c r="AS162" s="122">
        <f>AL162</f>
        <v>0</v>
      </c>
      <c r="AT162" s="122"/>
      <c r="AU162" s="122"/>
      <c r="AV162" s="118">
        <f>ROUND(P162/1000,0)</f>
        <v>62659</v>
      </c>
      <c r="AW162" s="118">
        <f t="shared" ref="AW162:AW163" si="220">AV162*1.12</f>
        <v>70178.080000000002</v>
      </c>
      <c r="AX162" s="118"/>
      <c r="AY162" s="118"/>
      <c r="AZ162" s="118"/>
      <c r="BA162" s="118"/>
      <c r="BB162" s="118"/>
      <c r="BC162" s="118"/>
      <c r="BD162" s="118"/>
      <c r="BE162" s="118"/>
      <c r="BF162" s="118"/>
      <c r="BG162" s="118"/>
      <c r="BH162" s="118"/>
      <c r="BI162" s="118"/>
      <c r="BJ162" s="118"/>
      <c r="BK162" s="118"/>
      <c r="BL162" s="118"/>
      <c r="BM162" s="207"/>
      <c r="BN162" s="207"/>
      <c r="BO162" s="100"/>
      <c r="BP162" s="100"/>
      <c r="BQ162" s="100"/>
      <c r="BR162" s="207"/>
      <c r="BS162" s="207"/>
      <c r="BT162" s="100"/>
      <c r="BW162" s="100"/>
      <c r="BX162" s="101"/>
    </row>
    <row r="163" spans="1:76" x14ac:dyDescent="0.25">
      <c r="A163" s="416"/>
      <c r="B163" s="375"/>
      <c r="C163" s="124" t="s">
        <v>71</v>
      </c>
      <c r="D163" s="124" t="s">
        <v>73</v>
      </c>
      <c r="E163" s="167"/>
      <c r="F163" s="167">
        <f t="shared" si="219"/>
        <v>0</v>
      </c>
      <c r="G163" s="403"/>
      <c r="H163" s="405"/>
      <c r="I163" s="166"/>
      <c r="J163" s="166"/>
      <c r="K163" s="444"/>
      <c r="L163" s="445"/>
      <c r="M163" s="406"/>
      <c r="N163" s="127">
        <f t="shared" si="212"/>
        <v>62659030.499999993</v>
      </c>
      <c r="O163" s="127">
        <f t="shared" si="212"/>
        <v>70178114.159999996</v>
      </c>
      <c r="P163" s="127">
        <f t="shared" si="217"/>
        <v>62659030.499999993</v>
      </c>
      <c r="Q163" s="127">
        <f>Q162</f>
        <v>70178114.159999996</v>
      </c>
      <c r="R163" s="354"/>
      <c r="S163" s="365"/>
      <c r="T163" s="37"/>
      <c r="U163" s="37"/>
      <c r="V163" s="37"/>
      <c r="W163" s="37"/>
      <c r="X163" s="37"/>
      <c r="Y163" s="37"/>
      <c r="Z163" s="126"/>
      <c r="AA163" s="126"/>
      <c r="AB163" s="126"/>
      <c r="AC163" s="126">
        <f>AC162</f>
        <v>40275.343499999995</v>
      </c>
      <c r="AD163" s="125">
        <f>AD162</f>
        <v>45108.384720000002</v>
      </c>
      <c r="AE163" s="126"/>
      <c r="AF163" s="126">
        <f t="shared" si="213"/>
        <v>40275.343499999995</v>
      </c>
      <c r="AG163" s="126">
        <f t="shared" si="213"/>
        <v>45108.384720000002</v>
      </c>
      <c r="AH163" s="126"/>
      <c r="AI163" s="126"/>
      <c r="AJ163" s="126"/>
      <c r="AK163" s="126"/>
      <c r="AL163" s="126">
        <f>AL162</f>
        <v>0</v>
      </c>
      <c r="AM163" s="125">
        <f>AM162</f>
        <v>0</v>
      </c>
      <c r="AN163" s="126"/>
      <c r="AO163" s="125">
        <f>AO162</f>
        <v>0</v>
      </c>
      <c r="AP163" s="125">
        <f>AP162</f>
        <v>0</v>
      </c>
      <c r="AQ163" s="125"/>
      <c r="AR163" s="128" t="str">
        <f t="shared" si="216"/>
        <v/>
      </c>
      <c r="AS163" s="129">
        <f>AL163</f>
        <v>0</v>
      </c>
      <c r="AT163" s="129"/>
      <c r="AU163" s="129"/>
      <c r="AV163" s="125">
        <f>AV162</f>
        <v>62659</v>
      </c>
      <c r="AW163" s="125">
        <f t="shared" si="220"/>
        <v>70178.080000000002</v>
      </c>
      <c r="AX163" s="125"/>
      <c r="AY163" s="125"/>
      <c r="AZ163" s="125"/>
      <c r="BA163" s="125"/>
      <c r="BB163" s="125"/>
      <c r="BC163" s="125"/>
      <c r="BD163" s="125"/>
      <c r="BE163" s="125"/>
      <c r="BF163" s="125"/>
      <c r="BG163" s="125"/>
      <c r="BH163" s="125"/>
      <c r="BI163" s="125"/>
      <c r="BJ163" s="125"/>
      <c r="BK163" s="125"/>
      <c r="BL163" s="125"/>
      <c r="BM163" s="208"/>
      <c r="BN163" s="208"/>
      <c r="BO163" s="25"/>
      <c r="BP163" s="25"/>
      <c r="BQ163" s="25"/>
      <c r="BR163" s="208"/>
      <c r="BS163" s="208"/>
      <c r="BT163" s="25"/>
      <c r="BW163" s="25"/>
      <c r="BX163" s="26"/>
    </row>
    <row r="164" spans="1:76" s="204" customFormat="1" x14ac:dyDescent="0.25">
      <c r="A164" s="416"/>
      <c r="B164" s="375"/>
      <c r="C164" s="193" t="s">
        <v>69</v>
      </c>
      <c r="D164" s="193" t="s">
        <v>70</v>
      </c>
      <c r="E164" s="194"/>
      <c r="F164" s="194"/>
      <c r="G164" s="403"/>
      <c r="H164" s="405"/>
      <c r="I164" s="195"/>
      <c r="J164" s="195"/>
      <c r="K164" s="396" t="s">
        <v>111</v>
      </c>
      <c r="L164" s="441" t="s">
        <v>117</v>
      </c>
      <c r="M164" s="372" t="s">
        <v>96</v>
      </c>
      <c r="N164" s="196">
        <f t="shared" si="212"/>
        <v>194241999.99999997</v>
      </c>
      <c r="O164" s="196">
        <f t="shared" si="212"/>
        <v>217551040</v>
      </c>
      <c r="P164" s="196">
        <f t="shared" si="217"/>
        <v>194241999.99999997</v>
      </c>
      <c r="Q164" s="196">
        <v>217551040</v>
      </c>
      <c r="R164" s="369" t="s">
        <v>118</v>
      </c>
      <c r="S164" s="365">
        <v>155</v>
      </c>
      <c r="T164" s="214"/>
      <c r="U164" s="214"/>
      <c r="V164" s="214"/>
      <c r="W164" s="214"/>
      <c r="X164" s="214"/>
      <c r="Y164" s="214"/>
      <c r="Z164" s="198"/>
      <c r="AA164" s="198"/>
      <c r="AB164" s="198"/>
      <c r="AC164" s="198">
        <v>195018</v>
      </c>
      <c r="AD164" s="199">
        <f t="shared" ref="AD164:AD175" si="221">AC164*1.12</f>
        <v>218420.16000000003</v>
      </c>
      <c r="AE164" s="198">
        <f>18+55+67+15</f>
        <v>155</v>
      </c>
      <c r="AF164" s="198">
        <f t="shared" si="213"/>
        <v>195018</v>
      </c>
      <c r="AG164" s="198">
        <f t="shared" si="213"/>
        <v>218420.16000000003</v>
      </c>
      <c r="AH164" s="198">
        <f t="shared" si="213"/>
        <v>155</v>
      </c>
      <c r="AI164" s="198"/>
      <c r="AJ164" s="198"/>
      <c r="AK164" s="198"/>
      <c r="AL164" s="198"/>
      <c r="AM164" s="199">
        <f t="shared" ref="AM164:AM175" si="222">AL164*1.12</f>
        <v>0</v>
      </c>
      <c r="AN164" s="198"/>
      <c r="AO164" s="199"/>
      <c r="AP164" s="199"/>
      <c r="AQ164" s="199"/>
      <c r="AR164" s="200" t="str">
        <f t="shared" si="216"/>
        <v/>
      </c>
      <c r="AS164" s="201"/>
      <c r="AT164" s="201"/>
      <c r="AU164" s="201"/>
      <c r="AV164" s="199">
        <f>E155-AV155-AV158-AV161</f>
        <v>774036</v>
      </c>
      <c r="AW164" s="199">
        <f>AV164*1.12</f>
        <v>866920.32000000007</v>
      </c>
      <c r="AX164" s="199">
        <f>H155-AX155-AX158-AX161</f>
        <v>-182</v>
      </c>
      <c r="AY164" s="199"/>
      <c r="AZ164" s="199"/>
      <c r="BA164" s="199"/>
      <c r="BB164" s="199"/>
      <c r="BC164" s="199"/>
      <c r="BD164" s="199"/>
      <c r="BE164" s="199"/>
      <c r="BF164" s="199"/>
      <c r="BG164" s="199"/>
      <c r="BH164" s="199"/>
      <c r="BI164" s="199"/>
      <c r="BJ164" s="199"/>
      <c r="BK164" s="199"/>
      <c r="BL164" s="199"/>
      <c r="BM164" s="202"/>
      <c r="BN164" s="202"/>
      <c r="BO164" s="202"/>
      <c r="BP164" s="202"/>
      <c r="BQ164" s="202"/>
      <c r="BR164" s="202"/>
      <c r="BS164" s="202"/>
      <c r="BT164" s="202"/>
      <c r="BW164" s="202"/>
      <c r="BX164" s="205"/>
    </row>
    <row r="165" spans="1:76" s="97" customFormat="1" x14ac:dyDescent="0.25">
      <c r="A165" s="416"/>
      <c r="B165" s="375"/>
      <c r="C165" s="117" t="s">
        <v>71</v>
      </c>
      <c r="D165" s="117" t="s">
        <v>72</v>
      </c>
      <c r="E165" s="163"/>
      <c r="F165" s="163"/>
      <c r="G165" s="403"/>
      <c r="H165" s="405"/>
      <c r="I165" s="161"/>
      <c r="J165" s="161"/>
      <c r="K165" s="397"/>
      <c r="L165" s="442"/>
      <c r="M165" s="373"/>
      <c r="N165" s="127">
        <f t="shared" si="212"/>
        <v>194241999.99999997</v>
      </c>
      <c r="O165" s="127">
        <f t="shared" si="212"/>
        <v>217551040</v>
      </c>
      <c r="P165" s="120">
        <f t="shared" si="217"/>
        <v>194241999.99999997</v>
      </c>
      <c r="Q165" s="120">
        <f>Q164</f>
        <v>217551040</v>
      </c>
      <c r="R165" s="369"/>
      <c r="S165" s="365"/>
      <c r="T165" s="37"/>
      <c r="U165" s="37"/>
      <c r="V165" s="37"/>
      <c r="W165" s="37"/>
      <c r="X165" s="37"/>
      <c r="Y165" s="37"/>
      <c r="Z165" s="119"/>
      <c r="AA165" s="119"/>
      <c r="AB165" s="119"/>
      <c r="AC165" s="217">
        <f>6479.08242/1.12+14040.75379/1.12+2857.41792/1.12+60984.75977/1.12</f>
        <v>75323.226696428566</v>
      </c>
      <c r="AD165" s="118">
        <f t="shared" si="221"/>
        <v>84362.013900000005</v>
      </c>
      <c r="AE165" s="119"/>
      <c r="AF165" s="119">
        <f t="shared" si="213"/>
        <v>75323.226696428566</v>
      </c>
      <c r="AG165" s="119">
        <f t="shared" si="213"/>
        <v>84362.013900000005</v>
      </c>
      <c r="AH165" s="119"/>
      <c r="AI165" s="119">
        <f>73684.6121/1.12+17141.12176/1.12</f>
        <v>81094.405232142846</v>
      </c>
      <c r="AJ165" s="119">
        <f>AI165*1.12</f>
        <v>90825.733859999993</v>
      </c>
      <c r="AK165" s="119"/>
      <c r="AL165" s="119">
        <f>73684.6121/1.12+17141.12176/1.12</f>
        <v>81094.405232142846</v>
      </c>
      <c r="AM165" s="118">
        <f t="shared" si="222"/>
        <v>90825.733859999993</v>
      </c>
      <c r="AN165" s="119"/>
      <c r="AO165" s="118">
        <f>AL165-AI165</f>
        <v>0</v>
      </c>
      <c r="AP165" s="118">
        <f>AO165*1.12</f>
        <v>0</v>
      </c>
      <c r="AQ165" s="118"/>
      <c r="AR165" s="121">
        <f t="shared" si="216"/>
        <v>1</v>
      </c>
      <c r="AS165" s="122">
        <f>AL165</f>
        <v>81094.405232142846</v>
      </c>
      <c r="AT165" s="122"/>
      <c r="AU165" s="122"/>
      <c r="AV165" s="118">
        <f>E156-AV156-AV159-AV162</f>
        <v>774036</v>
      </c>
      <c r="AW165" s="118">
        <f t="shared" ref="AW165:AW173" si="223">AV165*1.12</f>
        <v>866920.32000000007</v>
      </c>
      <c r="AX165" s="118"/>
      <c r="AY165" s="118"/>
      <c r="AZ165" s="118"/>
      <c r="BA165" s="118"/>
      <c r="BB165" s="118"/>
      <c r="BC165" s="118"/>
      <c r="BD165" s="118"/>
      <c r="BE165" s="118"/>
      <c r="BF165" s="118"/>
      <c r="BG165" s="118"/>
      <c r="BH165" s="118"/>
      <c r="BI165" s="118"/>
      <c r="BJ165" s="118"/>
      <c r="BK165" s="118"/>
      <c r="BL165" s="118"/>
      <c r="BM165" s="100"/>
      <c r="BN165" s="100"/>
      <c r="BO165" s="100"/>
      <c r="BP165" s="100"/>
      <c r="BQ165" s="100"/>
      <c r="BR165" s="100"/>
      <c r="BS165" s="100"/>
      <c r="BT165" s="100"/>
      <c r="BU165" s="97">
        <v>31030466.559999999</v>
      </c>
      <c r="BW165" s="100"/>
      <c r="BX165" s="101"/>
    </row>
    <row r="166" spans="1:76" x14ac:dyDescent="0.25">
      <c r="A166" s="416"/>
      <c r="B166" s="375"/>
      <c r="C166" s="124" t="s">
        <v>71</v>
      </c>
      <c r="D166" s="124" t="s">
        <v>73</v>
      </c>
      <c r="E166" s="167"/>
      <c r="F166" s="167"/>
      <c r="G166" s="403"/>
      <c r="H166" s="405"/>
      <c r="I166" s="166"/>
      <c r="J166" s="166"/>
      <c r="K166" s="398"/>
      <c r="L166" s="443"/>
      <c r="M166" s="374"/>
      <c r="N166" s="127">
        <f t="shared" si="212"/>
        <v>194241999.99999997</v>
      </c>
      <c r="O166" s="127">
        <f t="shared" si="212"/>
        <v>217551040</v>
      </c>
      <c r="P166" s="127">
        <f t="shared" si="217"/>
        <v>194241999.99999997</v>
      </c>
      <c r="Q166" s="232">
        <f>Q165</f>
        <v>217551040</v>
      </c>
      <c r="R166" s="369"/>
      <c r="S166" s="365"/>
      <c r="T166" s="37"/>
      <c r="U166" s="37"/>
      <c r="V166" s="37"/>
      <c r="W166" s="37"/>
      <c r="X166" s="37"/>
      <c r="Y166" s="37"/>
      <c r="Z166" s="126"/>
      <c r="AA166" s="126"/>
      <c r="AB166" s="126"/>
      <c r="AC166" s="126">
        <f>AC165</f>
        <v>75323.226696428566</v>
      </c>
      <c r="AD166" s="125">
        <f t="shared" si="221"/>
        <v>84362.013900000005</v>
      </c>
      <c r="AE166" s="126"/>
      <c r="AF166" s="126">
        <f t="shared" si="213"/>
        <v>75323.226696428566</v>
      </c>
      <c r="AG166" s="126">
        <f t="shared" si="213"/>
        <v>84362.013900000005</v>
      </c>
      <c r="AH166" s="126"/>
      <c r="AI166" s="126">
        <f>AI165</f>
        <v>81094.405232142846</v>
      </c>
      <c r="AJ166" s="126">
        <f>AJ165</f>
        <v>90825.733859999993</v>
      </c>
      <c r="AK166" s="126"/>
      <c r="AL166" s="126">
        <f>AL165</f>
        <v>81094.405232142846</v>
      </c>
      <c r="AM166" s="125">
        <f t="shared" si="222"/>
        <v>90825.733859999993</v>
      </c>
      <c r="AN166" s="126"/>
      <c r="AO166" s="125">
        <f>AO165</f>
        <v>0</v>
      </c>
      <c r="AP166" s="125">
        <f>AP165</f>
        <v>0</v>
      </c>
      <c r="AQ166" s="125"/>
      <c r="AR166" s="128">
        <f t="shared" si="216"/>
        <v>1</v>
      </c>
      <c r="AS166" s="129">
        <f>AL166</f>
        <v>81094.405232142846</v>
      </c>
      <c r="AT166" s="129"/>
      <c r="AU166" s="129"/>
      <c r="AV166" s="125">
        <f>AV165</f>
        <v>774036</v>
      </c>
      <c r="AW166" s="125">
        <f t="shared" si="223"/>
        <v>866920.32000000007</v>
      </c>
      <c r="AX166" s="125"/>
      <c r="AY166" s="125"/>
      <c r="AZ166" s="125"/>
      <c r="BA166" s="125"/>
      <c r="BB166" s="125"/>
      <c r="BC166" s="125"/>
      <c r="BD166" s="125"/>
      <c r="BE166" s="125"/>
      <c r="BF166" s="125"/>
      <c r="BG166" s="125"/>
      <c r="BH166" s="125"/>
      <c r="BI166" s="125"/>
      <c r="BJ166" s="125"/>
      <c r="BK166" s="125"/>
      <c r="BL166" s="125"/>
      <c r="BM166" s="25"/>
      <c r="BN166" s="25"/>
      <c r="BO166" s="25"/>
      <c r="BP166" s="25"/>
      <c r="BQ166" s="25"/>
      <c r="BR166" s="25"/>
      <c r="BS166" s="25"/>
      <c r="BT166" s="25"/>
      <c r="BW166" s="25"/>
      <c r="BX166" s="26"/>
    </row>
    <row r="167" spans="1:76" s="204" customFormat="1" x14ac:dyDescent="0.25">
      <c r="A167" s="416"/>
      <c r="B167" s="375"/>
      <c r="C167" s="193" t="s">
        <v>69</v>
      </c>
      <c r="D167" s="193" t="s">
        <v>70</v>
      </c>
      <c r="E167" s="194"/>
      <c r="F167" s="194"/>
      <c r="G167" s="403"/>
      <c r="H167" s="405"/>
      <c r="I167" s="195"/>
      <c r="J167" s="195"/>
      <c r="K167" s="396" t="s">
        <v>106</v>
      </c>
      <c r="L167" s="399" t="s">
        <v>107</v>
      </c>
      <c r="M167" s="406" t="s">
        <v>96</v>
      </c>
      <c r="N167" s="196">
        <f t="shared" si="212"/>
        <v>139792297.03571427</v>
      </c>
      <c r="O167" s="196">
        <f t="shared" si="212"/>
        <v>156567372.68000001</v>
      </c>
      <c r="P167" s="196">
        <f>Q167/1.12</f>
        <v>139792297.03571427</v>
      </c>
      <c r="Q167" s="196">
        <v>156567372.68000001</v>
      </c>
      <c r="R167" s="369" t="s">
        <v>118</v>
      </c>
      <c r="S167" s="365">
        <v>115</v>
      </c>
      <c r="T167" s="214"/>
      <c r="U167" s="214"/>
      <c r="V167" s="214"/>
      <c r="W167" s="214"/>
      <c r="X167" s="214"/>
      <c r="Y167" s="214"/>
      <c r="Z167" s="198"/>
      <c r="AA167" s="198"/>
      <c r="AB167" s="198"/>
      <c r="AC167" s="198">
        <f>66680+38831</f>
        <v>105511</v>
      </c>
      <c r="AD167" s="199">
        <f t="shared" si="221"/>
        <v>118172.32</v>
      </c>
      <c r="AE167" s="198">
        <f>22+3+16+15+12+20+17+10</f>
        <v>115</v>
      </c>
      <c r="AF167" s="198">
        <f t="shared" si="213"/>
        <v>105511</v>
      </c>
      <c r="AG167" s="198">
        <f t="shared" si="213"/>
        <v>118172.32</v>
      </c>
      <c r="AH167" s="198">
        <f t="shared" si="213"/>
        <v>115</v>
      </c>
      <c r="AI167" s="198"/>
      <c r="AJ167" s="198"/>
      <c r="AK167" s="198"/>
      <c r="AL167" s="198"/>
      <c r="AM167" s="199">
        <f t="shared" si="222"/>
        <v>0</v>
      </c>
      <c r="AN167" s="198"/>
      <c r="AO167" s="199"/>
      <c r="AP167" s="199"/>
      <c r="AQ167" s="199"/>
      <c r="AR167" s="200" t="str">
        <f t="shared" si="216"/>
        <v/>
      </c>
      <c r="AS167" s="201"/>
      <c r="AT167" s="201"/>
      <c r="AU167" s="201"/>
      <c r="AV167" s="199"/>
      <c r="AW167" s="199">
        <f t="shared" si="223"/>
        <v>0</v>
      </c>
      <c r="AX167" s="199"/>
      <c r="AY167" s="199"/>
      <c r="AZ167" s="199"/>
      <c r="BA167" s="199"/>
      <c r="BB167" s="199"/>
      <c r="BC167" s="199"/>
      <c r="BD167" s="199"/>
      <c r="BE167" s="199"/>
      <c r="BF167" s="199"/>
      <c r="BG167" s="199"/>
      <c r="BH167" s="199"/>
      <c r="BI167" s="199"/>
      <c r="BJ167" s="199"/>
      <c r="BK167" s="199"/>
      <c r="BL167" s="199"/>
      <c r="BM167" s="202"/>
      <c r="BN167" s="202"/>
      <c r="BO167" s="202"/>
      <c r="BP167" s="202"/>
      <c r="BQ167" s="202"/>
      <c r="BR167" s="202"/>
      <c r="BS167" s="202"/>
      <c r="BT167" s="202"/>
      <c r="BW167" s="202"/>
      <c r="BX167" s="205"/>
    </row>
    <row r="168" spans="1:76" s="97" customFormat="1" x14ac:dyDescent="0.25">
      <c r="A168" s="416"/>
      <c r="B168" s="375"/>
      <c r="C168" s="117" t="s">
        <v>71</v>
      </c>
      <c r="D168" s="117" t="s">
        <v>72</v>
      </c>
      <c r="E168" s="163"/>
      <c r="F168" s="163"/>
      <c r="G168" s="403"/>
      <c r="H168" s="405"/>
      <c r="I168" s="161"/>
      <c r="J168" s="161"/>
      <c r="K168" s="397"/>
      <c r="L168" s="400"/>
      <c r="M168" s="406"/>
      <c r="N168" s="127">
        <f t="shared" si="212"/>
        <v>139792297.03571427</v>
      </c>
      <c r="O168" s="127">
        <f t="shared" si="212"/>
        <v>156567372.68000001</v>
      </c>
      <c r="P168" s="120">
        <f t="shared" ref="P168:P169" si="224">Q168/1.12</f>
        <v>139792297.03571427</v>
      </c>
      <c r="Q168" s="120">
        <f>Q167</f>
        <v>156567372.68000001</v>
      </c>
      <c r="R168" s="369"/>
      <c r="S168" s="365"/>
      <c r="T168" s="37"/>
      <c r="U168" s="37"/>
      <c r="V168" s="37"/>
      <c r="W168" s="37"/>
      <c r="X168" s="37"/>
      <c r="Y168" s="37"/>
      <c r="Z168" s="119"/>
      <c r="AA168" s="119"/>
      <c r="AB168" s="119"/>
      <c r="AC168" s="222">
        <f>20981.72636/1.12+25777.33842/1.12</f>
        <v>41749.164982142858</v>
      </c>
      <c r="AD168" s="118">
        <f t="shared" si="221"/>
        <v>46759.064780000008</v>
      </c>
      <c r="AE168" s="119"/>
      <c r="AF168" s="119">
        <f t="shared" si="213"/>
        <v>41749.164982142858</v>
      </c>
      <c r="AG168" s="119">
        <f t="shared" si="213"/>
        <v>46759.064780000008</v>
      </c>
      <c r="AH168" s="119"/>
      <c r="AI168" s="119">
        <f>27582.41252/1.12+24435.33819/1.12</f>
        <v>46444.420276785706</v>
      </c>
      <c r="AJ168" s="119">
        <f>AI168*1.12</f>
        <v>52017.750709999993</v>
      </c>
      <c r="AK168" s="119"/>
      <c r="AL168" s="119">
        <f>27582.41252/1.12+24435.33819/1.12</f>
        <v>46444.420276785706</v>
      </c>
      <c r="AM168" s="118">
        <f t="shared" si="222"/>
        <v>52017.750709999993</v>
      </c>
      <c r="AN168" s="119"/>
      <c r="AO168" s="118">
        <f>AL168-AI168</f>
        <v>0</v>
      </c>
      <c r="AP168" s="118">
        <f>AO168*1.12</f>
        <v>0</v>
      </c>
      <c r="AQ168" s="118"/>
      <c r="AR168" s="121">
        <f t="shared" si="216"/>
        <v>1</v>
      </c>
      <c r="AS168" s="122">
        <f>AL168</f>
        <v>46444.420276785706</v>
      </c>
      <c r="AT168" s="122"/>
      <c r="AU168" s="122"/>
      <c r="AV168" s="118">
        <f>AL168</f>
        <v>46444.420276785706</v>
      </c>
      <c r="AW168" s="118">
        <f t="shared" si="223"/>
        <v>52017.750709999993</v>
      </c>
      <c r="AX168" s="118"/>
      <c r="AY168" s="118"/>
      <c r="AZ168" s="118"/>
      <c r="BA168" s="118"/>
      <c r="BB168" s="118"/>
      <c r="BC168" s="118"/>
      <c r="BD168" s="118"/>
      <c r="BE168" s="118"/>
      <c r="BF168" s="118"/>
      <c r="BG168" s="118"/>
      <c r="BH168" s="118"/>
      <c r="BI168" s="118"/>
      <c r="BJ168" s="118"/>
      <c r="BK168" s="118"/>
      <c r="BL168" s="118"/>
      <c r="BM168" s="100"/>
      <c r="BN168" s="100"/>
      <c r="BO168" s="100"/>
      <c r="BP168" s="100"/>
      <c r="BQ168" s="100"/>
      <c r="BR168" s="100"/>
      <c r="BS168" s="100"/>
      <c r="BT168" s="100"/>
      <c r="BU168" s="97">
        <v>16411374.199999999</v>
      </c>
      <c r="BW168" s="100"/>
      <c r="BX168" s="101"/>
    </row>
    <row r="169" spans="1:76" x14ac:dyDescent="0.25">
      <c r="A169" s="416"/>
      <c r="B169" s="375"/>
      <c r="C169" s="124" t="s">
        <v>71</v>
      </c>
      <c r="D169" s="124" t="s">
        <v>73</v>
      </c>
      <c r="E169" s="167"/>
      <c r="F169" s="167"/>
      <c r="G169" s="403"/>
      <c r="H169" s="405"/>
      <c r="I169" s="166"/>
      <c r="J169" s="166"/>
      <c r="K169" s="398"/>
      <c r="L169" s="401"/>
      <c r="M169" s="406"/>
      <c r="N169" s="127">
        <f t="shared" si="212"/>
        <v>139792297.03571427</v>
      </c>
      <c r="O169" s="127">
        <f t="shared" si="212"/>
        <v>156567372.68000001</v>
      </c>
      <c r="P169" s="127">
        <f t="shared" si="224"/>
        <v>139792297.03571427</v>
      </c>
      <c r="Q169" s="127">
        <f>Q168</f>
        <v>156567372.68000001</v>
      </c>
      <c r="R169" s="369"/>
      <c r="S169" s="365"/>
      <c r="T169" s="37"/>
      <c r="U169" s="37"/>
      <c r="V169" s="37"/>
      <c r="W169" s="37"/>
      <c r="X169" s="37"/>
      <c r="Y169" s="37"/>
      <c r="Z169" s="126"/>
      <c r="AA169" s="126"/>
      <c r="AB169" s="126"/>
      <c r="AC169" s="126">
        <f>AC168</f>
        <v>41749.164982142858</v>
      </c>
      <c r="AD169" s="125">
        <f t="shared" si="221"/>
        <v>46759.064780000008</v>
      </c>
      <c r="AE169" s="126"/>
      <c r="AF169" s="126">
        <f t="shared" si="213"/>
        <v>41749.164982142858</v>
      </c>
      <c r="AG169" s="126">
        <f t="shared" si="213"/>
        <v>46759.064780000008</v>
      </c>
      <c r="AH169" s="126"/>
      <c r="AI169" s="126">
        <f>AI168</f>
        <v>46444.420276785706</v>
      </c>
      <c r="AJ169" s="126">
        <f>AJ168</f>
        <v>52017.750709999993</v>
      </c>
      <c r="AK169" s="126"/>
      <c r="AL169" s="126">
        <f>AL168</f>
        <v>46444.420276785706</v>
      </c>
      <c r="AM169" s="125">
        <f t="shared" si="222"/>
        <v>52017.750709999993</v>
      </c>
      <c r="AN169" s="126"/>
      <c r="AO169" s="125">
        <f>AO168</f>
        <v>0</v>
      </c>
      <c r="AP169" s="125">
        <f>AP168</f>
        <v>0</v>
      </c>
      <c r="AQ169" s="125"/>
      <c r="AR169" s="128">
        <f t="shared" si="216"/>
        <v>1</v>
      </c>
      <c r="AS169" s="129">
        <f>AL169</f>
        <v>46444.420276785706</v>
      </c>
      <c r="AT169" s="129"/>
      <c r="AU169" s="129"/>
      <c r="AV169" s="125">
        <f>AL169</f>
        <v>46444.420276785706</v>
      </c>
      <c r="AW169" s="125">
        <f t="shared" si="223"/>
        <v>52017.750709999993</v>
      </c>
      <c r="AX169" s="125"/>
      <c r="AY169" s="125"/>
      <c r="AZ169" s="125"/>
      <c r="BA169" s="125"/>
      <c r="BB169" s="125"/>
      <c r="BC169" s="125"/>
      <c r="BD169" s="125"/>
      <c r="BE169" s="125"/>
      <c r="BF169" s="125"/>
      <c r="BG169" s="125"/>
      <c r="BH169" s="125"/>
      <c r="BI169" s="125"/>
      <c r="BJ169" s="125"/>
      <c r="BK169" s="125"/>
      <c r="BL169" s="125"/>
      <c r="BM169" s="25"/>
      <c r="BN169" s="25"/>
      <c r="BO169" s="25"/>
      <c r="BP169" s="25"/>
      <c r="BQ169" s="25"/>
      <c r="BR169" s="25"/>
      <c r="BS169" s="25"/>
      <c r="BT169" s="25"/>
      <c r="BW169" s="25"/>
      <c r="BX169" s="26"/>
    </row>
    <row r="170" spans="1:76" s="204" customFormat="1" x14ac:dyDescent="0.25">
      <c r="A170" s="416"/>
      <c r="B170" s="375"/>
      <c r="C170" s="193" t="s">
        <v>69</v>
      </c>
      <c r="D170" s="193" t="s">
        <v>70</v>
      </c>
      <c r="E170" s="194"/>
      <c r="F170" s="194"/>
      <c r="G170" s="403"/>
      <c r="H170" s="405"/>
      <c r="I170" s="195"/>
      <c r="J170" s="195"/>
      <c r="K170" s="396" t="s">
        <v>115</v>
      </c>
      <c r="L170" s="441" t="s">
        <v>120</v>
      </c>
      <c r="M170" s="406" t="s">
        <v>96</v>
      </c>
      <c r="N170" s="196">
        <f t="shared" si="212"/>
        <v>125317999.99999999</v>
      </c>
      <c r="O170" s="196">
        <f t="shared" si="212"/>
        <v>140356160</v>
      </c>
      <c r="P170" s="196">
        <f>Q170/1.12</f>
        <v>125317999.99999999</v>
      </c>
      <c r="Q170" s="196">
        <v>140356160</v>
      </c>
      <c r="R170" s="369" t="s">
        <v>118</v>
      </c>
      <c r="S170" s="365">
        <v>100</v>
      </c>
      <c r="T170" s="214"/>
      <c r="U170" s="214"/>
      <c r="V170" s="214"/>
      <c r="W170" s="214"/>
      <c r="X170" s="214"/>
      <c r="Y170" s="214"/>
      <c r="Z170" s="198"/>
      <c r="AA170" s="198"/>
      <c r="AB170" s="198"/>
      <c r="AC170" s="198">
        <v>106470</v>
      </c>
      <c r="AD170" s="199">
        <f t="shared" si="221"/>
        <v>119246.40000000001</v>
      </c>
      <c r="AE170" s="198">
        <f>3+14+28+6+4+45</f>
        <v>100</v>
      </c>
      <c r="AF170" s="198">
        <f t="shared" si="213"/>
        <v>106470</v>
      </c>
      <c r="AG170" s="198">
        <f t="shared" si="213"/>
        <v>119246.40000000001</v>
      </c>
      <c r="AH170" s="198">
        <f t="shared" si="213"/>
        <v>100</v>
      </c>
      <c r="AI170" s="198"/>
      <c r="AJ170" s="198"/>
      <c r="AK170" s="198"/>
      <c r="AL170" s="198"/>
      <c r="AM170" s="199">
        <f t="shared" si="222"/>
        <v>0</v>
      </c>
      <c r="AN170" s="198"/>
      <c r="AO170" s="199"/>
      <c r="AP170" s="199"/>
      <c r="AQ170" s="199"/>
      <c r="AR170" s="200" t="str">
        <f t="shared" si="216"/>
        <v/>
      </c>
      <c r="AS170" s="201"/>
      <c r="AT170" s="201"/>
      <c r="AU170" s="201"/>
      <c r="AV170" s="199"/>
      <c r="AW170" s="199">
        <f t="shared" si="223"/>
        <v>0</v>
      </c>
      <c r="AX170" s="199"/>
      <c r="AY170" s="199"/>
      <c r="AZ170" s="199"/>
      <c r="BA170" s="199"/>
      <c r="BB170" s="199"/>
      <c r="BC170" s="199"/>
      <c r="BD170" s="199"/>
      <c r="BE170" s="199"/>
      <c r="BF170" s="199"/>
      <c r="BG170" s="199"/>
      <c r="BH170" s="199"/>
      <c r="BI170" s="199"/>
      <c r="BJ170" s="199"/>
      <c r="BK170" s="199"/>
      <c r="BL170" s="199"/>
      <c r="BM170" s="202"/>
      <c r="BN170" s="202"/>
      <c r="BO170" s="202"/>
      <c r="BP170" s="202"/>
      <c r="BQ170" s="202"/>
      <c r="BR170" s="202"/>
      <c r="BS170" s="202"/>
      <c r="BT170" s="202"/>
      <c r="BW170" s="202"/>
      <c r="BX170" s="205"/>
    </row>
    <row r="171" spans="1:76" s="97" customFormat="1" x14ac:dyDescent="0.25">
      <c r="A171" s="416"/>
      <c r="B171" s="375"/>
      <c r="C171" s="117" t="s">
        <v>71</v>
      </c>
      <c r="D171" s="117" t="s">
        <v>72</v>
      </c>
      <c r="E171" s="163"/>
      <c r="F171" s="163"/>
      <c r="G171" s="403"/>
      <c r="H171" s="405"/>
      <c r="I171" s="161"/>
      <c r="J171" s="161"/>
      <c r="K171" s="397"/>
      <c r="L171" s="442"/>
      <c r="M171" s="406"/>
      <c r="N171" s="127">
        <f t="shared" si="212"/>
        <v>125317999.99999999</v>
      </c>
      <c r="O171" s="127">
        <f t="shared" si="212"/>
        <v>140356160</v>
      </c>
      <c r="P171" s="120">
        <f t="shared" ref="P171:P172" si="225">Q171/1.12</f>
        <v>125317999.99999999</v>
      </c>
      <c r="Q171" s="120">
        <f>Q170</f>
        <v>140356160</v>
      </c>
      <c r="R171" s="369"/>
      <c r="S171" s="365"/>
      <c r="T171" s="37"/>
      <c r="U171" s="37"/>
      <c r="V171" s="37"/>
      <c r="W171" s="37"/>
      <c r="X171" s="37"/>
      <c r="Y171" s="37"/>
      <c r="Z171" s="119"/>
      <c r="AA171" s="119"/>
      <c r="AB171" s="119"/>
      <c r="AC171" s="222">
        <f>10725.93834/1.12+27353.55616/1.12+6376.07861/1.12+2331.24794/1.12</f>
        <v>41773.947366071421</v>
      </c>
      <c r="AD171" s="118">
        <f t="shared" si="221"/>
        <v>46786.821049999999</v>
      </c>
      <c r="AE171" s="119"/>
      <c r="AF171" s="119">
        <f t="shared" ref="AF171:AH175" si="226">Z171+AC171</f>
        <v>41773.947366071421</v>
      </c>
      <c r="AG171" s="119">
        <f t="shared" si="226"/>
        <v>46786.821049999999</v>
      </c>
      <c r="AH171" s="119"/>
      <c r="AI171" s="119">
        <f>4639.76128/1.12+57422.6856/1.12</f>
        <v>55412.89899999999</v>
      </c>
      <c r="AJ171" s="119">
        <f>AI171*1.12</f>
        <v>62062.446879999996</v>
      </c>
      <c r="AK171" s="119"/>
      <c r="AL171" s="119">
        <f>4639.76128/1.12+57422.6856/1.12</f>
        <v>55412.89899999999</v>
      </c>
      <c r="AM171" s="118">
        <f t="shared" si="222"/>
        <v>62062.446879999996</v>
      </c>
      <c r="AN171" s="119"/>
      <c r="AO171" s="118">
        <f>AL171-AI171</f>
        <v>0</v>
      </c>
      <c r="AP171" s="118">
        <f>AO171*1.12</f>
        <v>0</v>
      </c>
      <c r="AQ171" s="118"/>
      <c r="AR171" s="121">
        <f t="shared" si="216"/>
        <v>1</v>
      </c>
      <c r="AS171" s="122">
        <f>AL171</f>
        <v>55412.89899999999</v>
      </c>
      <c r="AT171" s="122"/>
      <c r="AU171" s="122"/>
      <c r="AV171" s="118">
        <f>AL171</f>
        <v>55412.89899999999</v>
      </c>
      <c r="AW171" s="118">
        <f>AM171</f>
        <v>62062.446879999996</v>
      </c>
      <c r="AX171" s="118"/>
      <c r="AY171" s="118"/>
      <c r="AZ171" s="118"/>
      <c r="BA171" s="118"/>
      <c r="BB171" s="118"/>
      <c r="BC171" s="118"/>
      <c r="BD171" s="118"/>
      <c r="BE171" s="118"/>
      <c r="BF171" s="118"/>
      <c r="BG171" s="118"/>
      <c r="BH171" s="118"/>
      <c r="BI171" s="118"/>
      <c r="BJ171" s="118"/>
      <c r="BK171" s="118"/>
      <c r="BL171" s="118"/>
      <c r="BM171" s="100"/>
      <c r="BN171" s="100"/>
      <c r="BO171" s="100"/>
      <c r="BP171" s="100"/>
      <c r="BQ171" s="100"/>
      <c r="BR171" s="100"/>
      <c r="BS171" s="100"/>
      <c r="BT171" s="100"/>
      <c r="BU171" s="97">
        <v>11562480</v>
      </c>
      <c r="BW171" s="100"/>
      <c r="BX171" s="101"/>
    </row>
    <row r="172" spans="1:76" x14ac:dyDescent="0.25">
      <c r="A172" s="416"/>
      <c r="B172" s="375"/>
      <c r="C172" s="124" t="s">
        <v>71</v>
      </c>
      <c r="D172" s="124" t="s">
        <v>73</v>
      </c>
      <c r="E172" s="167"/>
      <c r="F172" s="167"/>
      <c r="G172" s="403"/>
      <c r="H172" s="405"/>
      <c r="I172" s="166"/>
      <c r="J172" s="166"/>
      <c r="K172" s="398"/>
      <c r="L172" s="443"/>
      <c r="M172" s="406"/>
      <c r="N172" s="127">
        <f t="shared" si="212"/>
        <v>125317999.99999999</v>
      </c>
      <c r="O172" s="127">
        <f t="shared" si="212"/>
        <v>140356160</v>
      </c>
      <c r="P172" s="127">
        <f t="shared" si="225"/>
        <v>125317999.99999999</v>
      </c>
      <c r="Q172" s="127">
        <f>Q171</f>
        <v>140356160</v>
      </c>
      <c r="R172" s="369"/>
      <c r="S172" s="365"/>
      <c r="T172" s="37"/>
      <c r="U172" s="37"/>
      <c r="V172" s="37"/>
      <c r="W172" s="37"/>
      <c r="X172" s="37"/>
      <c r="Y172" s="37"/>
      <c r="Z172" s="126"/>
      <c r="AA172" s="126"/>
      <c r="AB172" s="126"/>
      <c r="AC172" s="126">
        <f>AC171</f>
        <v>41773.947366071421</v>
      </c>
      <c r="AD172" s="125">
        <f t="shared" si="221"/>
        <v>46786.821049999999</v>
      </c>
      <c r="AE172" s="126"/>
      <c r="AF172" s="126">
        <f t="shared" si="226"/>
        <v>41773.947366071421</v>
      </c>
      <c r="AG172" s="126">
        <f t="shared" si="226"/>
        <v>46786.821049999999</v>
      </c>
      <c r="AH172" s="126"/>
      <c r="AI172" s="126">
        <f>AI171</f>
        <v>55412.89899999999</v>
      </c>
      <c r="AJ172" s="126">
        <f>AJ171</f>
        <v>62062.446879999996</v>
      </c>
      <c r="AK172" s="126"/>
      <c r="AL172" s="126">
        <f>AL171</f>
        <v>55412.89899999999</v>
      </c>
      <c r="AM172" s="125">
        <f t="shared" si="222"/>
        <v>62062.446879999996</v>
      </c>
      <c r="AN172" s="126"/>
      <c r="AO172" s="125">
        <f>AO171</f>
        <v>0</v>
      </c>
      <c r="AP172" s="125">
        <f>AP171</f>
        <v>0</v>
      </c>
      <c r="AQ172" s="125"/>
      <c r="AR172" s="128">
        <f t="shared" si="216"/>
        <v>1</v>
      </c>
      <c r="AS172" s="129">
        <f>AL172</f>
        <v>55412.89899999999</v>
      </c>
      <c r="AT172" s="129"/>
      <c r="AU172" s="129"/>
      <c r="AV172" s="125">
        <f>AL172</f>
        <v>55412.89899999999</v>
      </c>
      <c r="AW172" s="125">
        <f>AM172</f>
        <v>62062.446879999996</v>
      </c>
      <c r="AX172" s="125"/>
      <c r="AY172" s="125"/>
      <c r="AZ172" s="125"/>
      <c r="BA172" s="125"/>
      <c r="BB172" s="125"/>
      <c r="BC172" s="125"/>
      <c r="BD172" s="125"/>
      <c r="BE172" s="125"/>
      <c r="BF172" s="125"/>
      <c r="BG172" s="125"/>
      <c r="BH172" s="125"/>
      <c r="BI172" s="125"/>
      <c r="BJ172" s="125"/>
      <c r="BK172" s="125"/>
      <c r="BL172" s="125"/>
      <c r="BM172" s="25"/>
      <c r="BN172" s="25"/>
      <c r="BO172" s="25"/>
      <c r="BP172" s="25"/>
      <c r="BQ172" s="25"/>
      <c r="BR172" s="25"/>
      <c r="BS172" s="25"/>
      <c r="BT172" s="25"/>
      <c r="BW172" s="25"/>
      <c r="BX172" s="26"/>
    </row>
    <row r="173" spans="1:76" s="204" customFormat="1" x14ac:dyDescent="0.25">
      <c r="A173" s="416"/>
      <c r="B173" s="375"/>
      <c r="C173" s="193" t="s">
        <v>69</v>
      </c>
      <c r="D173" s="193" t="s">
        <v>70</v>
      </c>
      <c r="E173" s="194"/>
      <c r="F173" s="194"/>
      <c r="G173" s="403"/>
      <c r="H173" s="405"/>
      <c r="I173" s="195"/>
      <c r="J173" s="195"/>
      <c r="K173" s="444" t="s">
        <v>124</v>
      </c>
      <c r="L173" s="444" t="s">
        <v>125</v>
      </c>
      <c r="M173" s="406" t="s">
        <v>96</v>
      </c>
      <c r="N173" s="196">
        <f t="shared" si="212"/>
        <v>76444017.214285702</v>
      </c>
      <c r="O173" s="196">
        <f t="shared" si="212"/>
        <v>85617299.280000001</v>
      </c>
      <c r="P173" s="196">
        <f>Q173/1.12</f>
        <v>76444017.214285702</v>
      </c>
      <c r="Q173" s="196">
        <v>85617299.280000001</v>
      </c>
      <c r="R173" s="369" t="s">
        <v>108</v>
      </c>
      <c r="S173" s="365">
        <v>61</v>
      </c>
      <c r="T173" s="214"/>
      <c r="U173" s="214"/>
      <c r="V173" s="214"/>
      <c r="W173" s="214"/>
      <c r="X173" s="214"/>
      <c r="Y173" s="214"/>
      <c r="Z173" s="198"/>
      <c r="AA173" s="198"/>
      <c r="AB173" s="198"/>
      <c r="AC173" s="198">
        <v>76433</v>
      </c>
      <c r="AD173" s="199">
        <f t="shared" si="221"/>
        <v>85604.96</v>
      </c>
      <c r="AE173" s="198">
        <f>24+37</f>
        <v>61</v>
      </c>
      <c r="AF173" s="198">
        <f t="shared" si="226"/>
        <v>76433</v>
      </c>
      <c r="AG173" s="198">
        <f t="shared" si="226"/>
        <v>85604.96</v>
      </c>
      <c r="AH173" s="198">
        <f t="shared" si="226"/>
        <v>61</v>
      </c>
      <c r="AI173" s="198"/>
      <c r="AJ173" s="198"/>
      <c r="AK173" s="198"/>
      <c r="AL173" s="198"/>
      <c r="AM173" s="199">
        <f t="shared" si="222"/>
        <v>0</v>
      </c>
      <c r="AN173" s="198"/>
      <c r="AO173" s="199"/>
      <c r="AP173" s="199"/>
      <c r="AQ173" s="199"/>
      <c r="AR173" s="200" t="str">
        <f t="shared" si="216"/>
        <v/>
      </c>
      <c r="AS173" s="201"/>
      <c r="AT173" s="201"/>
      <c r="AU173" s="201"/>
      <c r="AV173" s="199"/>
      <c r="AW173" s="199">
        <f t="shared" si="223"/>
        <v>0</v>
      </c>
      <c r="AX173" s="199"/>
      <c r="AY173" s="199"/>
      <c r="AZ173" s="199"/>
      <c r="BA173" s="199"/>
      <c r="BB173" s="199"/>
      <c r="BC173" s="199"/>
      <c r="BD173" s="199"/>
      <c r="BE173" s="199"/>
      <c r="BF173" s="199"/>
      <c r="BG173" s="199"/>
      <c r="BH173" s="199"/>
      <c r="BI173" s="199"/>
      <c r="BJ173" s="199"/>
      <c r="BK173" s="199"/>
      <c r="BL173" s="199"/>
      <c r="BM173" s="202"/>
      <c r="BN173" s="202"/>
      <c r="BO173" s="202"/>
      <c r="BP173" s="202"/>
      <c r="BQ173" s="202"/>
      <c r="BR173" s="202"/>
      <c r="BS173" s="202"/>
      <c r="BT173" s="202"/>
      <c r="BW173" s="202"/>
      <c r="BX173" s="205"/>
    </row>
    <row r="174" spans="1:76" s="97" customFormat="1" x14ac:dyDescent="0.25">
      <c r="A174" s="416"/>
      <c r="B174" s="375"/>
      <c r="C174" s="117" t="s">
        <v>71</v>
      </c>
      <c r="D174" s="117" t="s">
        <v>72</v>
      </c>
      <c r="E174" s="163"/>
      <c r="F174" s="163"/>
      <c r="G174" s="403"/>
      <c r="H174" s="405"/>
      <c r="I174" s="161"/>
      <c r="J174" s="161"/>
      <c r="K174" s="444"/>
      <c r="L174" s="444"/>
      <c r="M174" s="406"/>
      <c r="N174" s="127">
        <f t="shared" si="212"/>
        <v>76444017.214285702</v>
      </c>
      <c r="O174" s="127">
        <f t="shared" si="212"/>
        <v>85617299.280000001</v>
      </c>
      <c r="P174" s="120">
        <f t="shared" ref="P174:P175" si="227">Q174/1.12</f>
        <v>76444017.214285702</v>
      </c>
      <c r="Q174" s="120">
        <f>Q173</f>
        <v>85617299.280000001</v>
      </c>
      <c r="R174" s="369"/>
      <c r="S174" s="365"/>
      <c r="T174" s="37"/>
      <c r="U174" s="37"/>
      <c r="V174" s="37"/>
      <c r="W174" s="37"/>
      <c r="X174" s="37"/>
      <c r="Y174" s="37"/>
      <c r="Z174" s="119"/>
      <c r="AA174" s="119"/>
      <c r="AB174" s="119"/>
      <c r="AC174" s="216">
        <f>34029.96146/1.12+47901.94847/1.12</f>
        <v>73153.491008928569</v>
      </c>
      <c r="AD174" s="118">
        <f t="shared" si="221"/>
        <v>81931.909930000009</v>
      </c>
      <c r="AE174" s="119"/>
      <c r="AF174" s="119">
        <f t="shared" si="226"/>
        <v>73153.491008928569</v>
      </c>
      <c r="AG174" s="119">
        <f t="shared" si="226"/>
        <v>81931.909930000009</v>
      </c>
      <c r="AH174" s="119"/>
      <c r="AI174" s="119"/>
      <c r="AJ174" s="119"/>
      <c r="AK174" s="119"/>
      <c r="AL174" s="119"/>
      <c r="AM174" s="118">
        <f t="shared" si="222"/>
        <v>0</v>
      </c>
      <c r="AN174" s="119"/>
      <c r="AO174" s="118">
        <f>AL174-AI174</f>
        <v>0</v>
      </c>
      <c r="AP174" s="118">
        <f>AO174*1.12</f>
        <v>0</v>
      </c>
      <c r="AQ174" s="118"/>
      <c r="AR174" s="121" t="str">
        <f t="shared" si="216"/>
        <v/>
      </c>
      <c r="AS174" s="122">
        <f>AL174</f>
        <v>0</v>
      </c>
      <c r="AT174" s="122"/>
      <c r="AU174" s="122"/>
      <c r="AV174" s="118">
        <f>AL174</f>
        <v>0</v>
      </c>
      <c r="AW174" s="118">
        <f>AM174</f>
        <v>0</v>
      </c>
      <c r="AX174" s="118"/>
      <c r="AY174" s="118"/>
      <c r="AZ174" s="118"/>
      <c r="BA174" s="118"/>
      <c r="BB174" s="118"/>
      <c r="BC174" s="118"/>
      <c r="BD174" s="118"/>
      <c r="BE174" s="118"/>
      <c r="BF174" s="118"/>
      <c r="BG174" s="118"/>
      <c r="BH174" s="118"/>
      <c r="BI174" s="118"/>
      <c r="BJ174" s="118"/>
      <c r="BK174" s="118"/>
      <c r="BL174" s="118"/>
      <c r="BM174" s="100"/>
      <c r="BN174" s="100"/>
      <c r="BO174" s="100"/>
      <c r="BP174" s="100"/>
      <c r="BQ174" s="100"/>
      <c r="BR174" s="100"/>
      <c r="BS174" s="100"/>
      <c r="BT174" s="100"/>
      <c r="BU174" s="97">
        <v>11562480</v>
      </c>
      <c r="BW174" s="100"/>
      <c r="BX174" s="101"/>
    </row>
    <row r="175" spans="1:76" x14ac:dyDescent="0.25">
      <c r="A175" s="356"/>
      <c r="B175" s="354"/>
      <c r="C175" s="124" t="s">
        <v>71</v>
      </c>
      <c r="D175" s="124" t="s">
        <v>73</v>
      </c>
      <c r="E175" s="167"/>
      <c r="F175" s="167"/>
      <c r="G175" s="414"/>
      <c r="H175" s="415"/>
      <c r="I175" s="166"/>
      <c r="J175" s="166"/>
      <c r="K175" s="444"/>
      <c r="L175" s="444"/>
      <c r="M175" s="406"/>
      <c r="N175" s="127">
        <f t="shared" si="212"/>
        <v>76444017.214285702</v>
      </c>
      <c r="O175" s="127">
        <f t="shared" si="212"/>
        <v>85617299.280000001</v>
      </c>
      <c r="P175" s="127">
        <f t="shared" si="227"/>
        <v>76444017.214285702</v>
      </c>
      <c r="Q175" s="127">
        <f>Q174</f>
        <v>85617299.280000001</v>
      </c>
      <c r="R175" s="369"/>
      <c r="S175" s="365"/>
      <c r="T175" s="37"/>
      <c r="U175" s="37"/>
      <c r="V175" s="37"/>
      <c r="W175" s="37"/>
      <c r="X175" s="37"/>
      <c r="Y175" s="37"/>
      <c r="Z175" s="126"/>
      <c r="AA175" s="126"/>
      <c r="AB175" s="126"/>
      <c r="AC175" s="126">
        <f>AC174</f>
        <v>73153.491008928569</v>
      </c>
      <c r="AD175" s="125">
        <f t="shared" si="221"/>
        <v>81931.909930000009</v>
      </c>
      <c r="AE175" s="126"/>
      <c r="AF175" s="126">
        <f t="shared" si="226"/>
        <v>73153.491008928569</v>
      </c>
      <c r="AG175" s="126">
        <f t="shared" si="226"/>
        <v>81931.909930000009</v>
      </c>
      <c r="AH175" s="126"/>
      <c r="AI175" s="126"/>
      <c r="AJ175" s="126"/>
      <c r="AK175" s="126"/>
      <c r="AL175" s="126">
        <f>AL174</f>
        <v>0</v>
      </c>
      <c r="AM175" s="125">
        <f t="shared" si="222"/>
        <v>0</v>
      </c>
      <c r="AN175" s="126"/>
      <c r="AO175" s="125">
        <f>AO174</f>
        <v>0</v>
      </c>
      <c r="AP175" s="125">
        <f>AP174</f>
        <v>0</v>
      </c>
      <c r="AQ175" s="125"/>
      <c r="AR175" s="128" t="str">
        <f t="shared" si="216"/>
        <v/>
      </c>
      <c r="AS175" s="129">
        <f>AL175</f>
        <v>0</v>
      </c>
      <c r="AT175" s="129"/>
      <c r="AU175" s="129"/>
      <c r="AV175" s="125">
        <f>AL175</f>
        <v>0</v>
      </c>
      <c r="AW175" s="125">
        <f>AM175</f>
        <v>0</v>
      </c>
      <c r="AX175" s="125"/>
      <c r="AY175" s="125"/>
      <c r="AZ175" s="125"/>
      <c r="BA175" s="125"/>
      <c r="BB175" s="125"/>
      <c r="BC175" s="125"/>
      <c r="BD175" s="125"/>
      <c r="BE175" s="125"/>
      <c r="BF175" s="125"/>
      <c r="BG175" s="125"/>
      <c r="BH175" s="125"/>
      <c r="BI175" s="125"/>
      <c r="BJ175" s="125"/>
      <c r="BK175" s="125"/>
      <c r="BL175" s="125"/>
      <c r="BM175" s="25"/>
      <c r="BN175" s="25"/>
      <c r="BO175" s="25"/>
      <c r="BP175" s="25"/>
      <c r="BQ175" s="25"/>
      <c r="BR175" s="25"/>
      <c r="BS175" s="25"/>
      <c r="BT175" s="25"/>
      <c r="BW175" s="25"/>
      <c r="BX175" s="26"/>
    </row>
    <row r="176" spans="1:76" s="189" customFormat="1" x14ac:dyDescent="0.25">
      <c r="A176" s="355">
        <v>4</v>
      </c>
      <c r="B176" s="353" t="s">
        <v>126</v>
      </c>
      <c r="C176" s="180"/>
      <c r="D176" s="180"/>
      <c r="E176" s="182">
        <f>E178+E181+E184+E187+E190+E193</f>
        <v>310515</v>
      </c>
      <c r="F176" s="182">
        <f>F178+F181+F184+F187+F190+F193</f>
        <v>347776.80000000005</v>
      </c>
      <c r="G176" s="191"/>
      <c r="H176" s="209">
        <f>H178</f>
        <v>0</v>
      </c>
      <c r="I176" s="182">
        <f>I178+I181+I184+I187+I190+I193</f>
        <v>0</v>
      </c>
      <c r="J176" s="182">
        <f>J178+J181+J184+J187+J190+J193</f>
        <v>0</v>
      </c>
      <c r="K176" s="407" t="s">
        <v>127</v>
      </c>
      <c r="L176" s="408"/>
      <c r="M176" s="417" t="s">
        <v>96</v>
      </c>
      <c r="N176" s="183">
        <f t="shared" ref="N176:Q177" si="228">N178+N181+N184+N187+N190+N193</f>
        <v>232189764.08035713</v>
      </c>
      <c r="O176" s="233">
        <f t="shared" si="228"/>
        <v>260052535.77000001</v>
      </c>
      <c r="P176" s="183">
        <f t="shared" si="228"/>
        <v>232189764.08035713</v>
      </c>
      <c r="Q176" s="234">
        <f t="shared" si="228"/>
        <v>260052535.77000001</v>
      </c>
      <c r="R176" s="210"/>
      <c r="S176" s="413">
        <f>S178+S181+S184+S187+S190+S193</f>
        <v>205</v>
      </c>
      <c r="T176" s="192">
        <f>T178+T181+T184+T187+T190+T193</f>
        <v>0</v>
      </c>
      <c r="U176" s="192">
        <f t="shared" ref="U176:AH177" si="229">U178+U181+U184+U187+U190+U193</f>
        <v>0</v>
      </c>
      <c r="V176" s="192">
        <f t="shared" si="229"/>
        <v>0</v>
      </c>
      <c r="W176" s="192">
        <f t="shared" si="229"/>
        <v>0</v>
      </c>
      <c r="X176" s="192">
        <f t="shared" si="229"/>
        <v>0</v>
      </c>
      <c r="Y176" s="192">
        <f t="shared" si="229"/>
        <v>0</v>
      </c>
      <c r="Z176" s="192">
        <f t="shared" si="229"/>
        <v>0</v>
      </c>
      <c r="AA176" s="192">
        <f t="shared" si="229"/>
        <v>0</v>
      </c>
      <c r="AB176" s="192">
        <f t="shared" si="229"/>
        <v>0</v>
      </c>
      <c r="AC176" s="192">
        <f t="shared" si="229"/>
        <v>220470</v>
      </c>
      <c r="AD176" s="192">
        <f t="shared" si="229"/>
        <v>246926.4</v>
      </c>
      <c r="AE176" s="192">
        <f t="shared" si="229"/>
        <v>205</v>
      </c>
      <c r="AF176" s="192">
        <f t="shared" si="229"/>
        <v>220470</v>
      </c>
      <c r="AG176" s="192">
        <f t="shared" si="229"/>
        <v>246926.4</v>
      </c>
      <c r="AH176" s="192">
        <f t="shared" si="229"/>
        <v>205</v>
      </c>
      <c r="AI176" s="192">
        <f>AI178+AI181+AI184+AI187+AI190+AI193</f>
        <v>0</v>
      </c>
      <c r="AJ176" s="192">
        <f t="shared" ref="AJ176:AQ177" si="230">AJ178+AJ181+AJ184+AJ187+AJ190+AJ193</f>
        <v>0</v>
      </c>
      <c r="AK176" s="192">
        <f t="shared" si="230"/>
        <v>0</v>
      </c>
      <c r="AL176" s="192">
        <f t="shared" si="230"/>
        <v>0</v>
      </c>
      <c r="AM176" s="188">
        <f t="shared" si="230"/>
        <v>0</v>
      </c>
      <c r="AN176" s="192">
        <f>AN178+AN181+AN184+AN187+AN190+AN193</f>
        <v>0</v>
      </c>
      <c r="AO176" s="188">
        <f>AL176-AI176</f>
        <v>0</v>
      </c>
      <c r="AP176" s="188">
        <f t="shared" si="182"/>
        <v>0</v>
      </c>
      <c r="AQ176" s="188">
        <f t="shared" si="230"/>
        <v>0</v>
      </c>
      <c r="AR176" s="185" t="str">
        <f t="shared" si="207"/>
        <v/>
      </c>
      <c r="AS176" s="211">
        <f t="shared" ref="AS176:BL177" si="231">AS178+AS181+AS184+AS187+AS190+AS193</f>
        <v>0</v>
      </c>
      <c r="AT176" s="211">
        <f t="shared" si="231"/>
        <v>0</v>
      </c>
      <c r="AU176" s="211">
        <f t="shared" si="231"/>
        <v>0</v>
      </c>
      <c r="AV176" s="188">
        <f t="shared" si="231"/>
        <v>310515</v>
      </c>
      <c r="AW176" s="188">
        <f t="shared" si="231"/>
        <v>347776.8</v>
      </c>
      <c r="AX176" s="188">
        <f t="shared" si="231"/>
        <v>0</v>
      </c>
      <c r="AY176" s="188">
        <f t="shared" si="231"/>
        <v>0</v>
      </c>
      <c r="AZ176" s="188">
        <f t="shared" si="231"/>
        <v>0</v>
      </c>
      <c r="BA176" s="188">
        <f t="shared" si="231"/>
        <v>0</v>
      </c>
      <c r="BB176" s="188">
        <f t="shared" si="231"/>
        <v>0</v>
      </c>
      <c r="BC176" s="188">
        <f t="shared" si="231"/>
        <v>0</v>
      </c>
      <c r="BD176" s="188">
        <f t="shared" si="231"/>
        <v>0</v>
      </c>
      <c r="BE176" s="188">
        <f t="shared" si="231"/>
        <v>0</v>
      </c>
      <c r="BF176" s="188">
        <f t="shared" si="231"/>
        <v>0</v>
      </c>
      <c r="BG176" s="188">
        <f t="shared" si="231"/>
        <v>0</v>
      </c>
      <c r="BH176" s="188">
        <f t="shared" si="231"/>
        <v>0</v>
      </c>
      <c r="BI176" s="188">
        <f>BI178+BI181+BI184+BI187+BI190+BI193</f>
        <v>0</v>
      </c>
      <c r="BJ176" s="188">
        <f t="shared" si="231"/>
        <v>0</v>
      </c>
      <c r="BK176" s="188">
        <f t="shared" si="231"/>
        <v>0</v>
      </c>
      <c r="BL176" s="188">
        <f t="shared" si="231"/>
        <v>0</v>
      </c>
      <c r="BM176" s="186" t="s">
        <v>103</v>
      </c>
      <c r="BN176" s="181"/>
      <c r="BO176" s="188">
        <f t="shared" ref="BO176:BQ177" si="232">BO178+BO181+BO184+BO187+BO190+BO193</f>
        <v>0</v>
      </c>
      <c r="BP176" s="188">
        <f t="shared" si="232"/>
        <v>0</v>
      </c>
      <c r="BQ176" s="188">
        <f t="shared" si="232"/>
        <v>0</v>
      </c>
      <c r="BR176" s="212"/>
      <c r="BS176" s="212"/>
      <c r="BT176" s="181"/>
      <c r="BW176" s="181"/>
      <c r="BX176" s="190"/>
    </row>
    <row r="177" spans="1:76" s="189" customFormat="1" x14ac:dyDescent="0.25">
      <c r="A177" s="416"/>
      <c r="B177" s="375"/>
      <c r="C177" s="180"/>
      <c r="D177" s="180"/>
      <c r="E177" s="182">
        <f>E179+E182+E185+E188+E191+E194</f>
        <v>310515</v>
      </c>
      <c r="F177" s="182">
        <f>F179+F182+F185+F188+F191+F194</f>
        <v>347776.80000000005</v>
      </c>
      <c r="G177" s="191"/>
      <c r="H177" s="209"/>
      <c r="I177" s="182">
        <f>I179+I182+I185+I188+I191+I194</f>
        <v>95784.82142857142</v>
      </c>
      <c r="J177" s="182">
        <f>J179+J182+J185+J188+J191+J194</f>
        <v>107279</v>
      </c>
      <c r="K177" s="409"/>
      <c r="L177" s="410"/>
      <c r="M177" s="417"/>
      <c r="N177" s="183">
        <f t="shared" si="228"/>
        <v>232189764.08035713</v>
      </c>
      <c r="O177" s="233">
        <f t="shared" si="228"/>
        <v>260052535.77000001</v>
      </c>
      <c r="P177" s="183">
        <f t="shared" si="228"/>
        <v>232189764.08035713</v>
      </c>
      <c r="Q177" s="234">
        <f t="shared" si="228"/>
        <v>260052535.77000001</v>
      </c>
      <c r="R177" s="210"/>
      <c r="S177" s="413"/>
      <c r="T177" s="192">
        <f>T179+T182+T185+T188+T191+T194</f>
        <v>0</v>
      </c>
      <c r="U177" s="192">
        <f t="shared" si="229"/>
        <v>0</v>
      </c>
      <c r="V177" s="192"/>
      <c r="W177" s="192">
        <f t="shared" si="229"/>
        <v>0</v>
      </c>
      <c r="X177" s="192">
        <f t="shared" si="229"/>
        <v>0</v>
      </c>
      <c r="Y177" s="192"/>
      <c r="Z177" s="192">
        <f t="shared" si="229"/>
        <v>0</v>
      </c>
      <c r="AA177" s="192">
        <f t="shared" si="229"/>
        <v>0</v>
      </c>
      <c r="AB177" s="192"/>
      <c r="AC177" s="192">
        <f t="shared" si="229"/>
        <v>105646.55429464285</v>
      </c>
      <c r="AD177" s="192">
        <f t="shared" si="229"/>
        <v>118324.14081000001</v>
      </c>
      <c r="AE177" s="192"/>
      <c r="AF177" s="192">
        <f t="shared" si="229"/>
        <v>105646.55429464285</v>
      </c>
      <c r="AG177" s="192">
        <f t="shared" si="229"/>
        <v>118324.14081000001</v>
      </c>
      <c r="AH177" s="192"/>
      <c r="AI177" s="192">
        <f>AI179+AI182+AI185+AI188+AI191+AI194</f>
        <v>95785.368883928575</v>
      </c>
      <c r="AJ177" s="192">
        <f t="shared" si="230"/>
        <v>107279.61315</v>
      </c>
      <c r="AK177" s="192"/>
      <c r="AL177" s="192">
        <f t="shared" si="230"/>
        <v>95785.368883928575</v>
      </c>
      <c r="AM177" s="188">
        <f t="shared" si="230"/>
        <v>107279.61315</v>
      </c>
      <c r="AN177" s="192"/>
      <c r="AO177" s="188">
        <f t="shared" si="182"/>
        <v>0</v>
      </c>
      <c r="AP177" s="188">
        <f t="shared" si="182"/>
        <v>0</v>
      </c>
      <c r="AQ177" s="188"/>
      <c r="AR177" s="185">
        <f t="shared" si="207"/>
        <v>1</v>
      </c>
      <c r="AS177" s="211">
        <f t="shared" si="231"/>
        <v>95785.368883928575</v>
      </c>
      <c r="AT177" s="211">
        <f t="shared" si="231"/>
        <v>0</v>
      </c>
      <c r="AU177" s="211">
        <f t="shared" si="231"/>
        <v>0</v>
      </c>
      <c r="AV177" s="188">
        <f t="shared" si="231"/>
        <v>317481.23599999998</v>
      </c>
      <c r="AW177" s="188">
        <f t="shared" si="231"/>
        <v>355578.98431999999</v>
      </c>
      <c r="AX177" s="188">
        <f t="shared" si="231"/>
        <v>0</v>
      </c>
      <c r="AY177" s="188">
        <f t="shared" si="231"/>
        <v>0</v>
      </c>
      <c r="AZ177" s="188">
        <f t="shared" si="231"/>
        <v>0</v>
      </c>
      <c r="BA177" s="188">
        <f t="shared" si="231"/>
        <v>0</v>
      </c>
      <c r="BB177" s="188">
        <f t="shared" si="231"/>
        <v>0</v>
      </c>
      <c r="BC177" s="188">
        <f t="shared" si="231"/>
        <v>0</v>
      </c>
      <c r="BD177" s="188">
        <f t="shared" si="231"/>
        <v>0</v>
      </c>
      <c r="BE177" s="188">
        <f t="shared" si="231"/>
        <v>0</v>
      </c>
      <c r="BF177" s="188">
        <f t="shared" si="231"/>
        <v>0</v>
      </c>
      <c r="BG177" s="188">
        <f t="shared" si="231"/>
        <v>0</v>
      </c>
      <c r="BH177" s="188">
        <f t="shared" si="231"/>
        <v>0</v>
      </c>
      <c r="BI177" s="188">
        <f t="shared" si="231"/>
        <v>0</v>
      </c>
      <c r="BJ177" s="188">
        <f t="shared" si="231"/>
        <v>0</v>
      </c>
      <c r="BK177" s="188">
        <f t="shared" si="231"/>
        <v>0</v>
      </c>
      <c r="BL177" s="188">
        <f t="shared" si="231"/>
        <v>0</v>
      </c>
      <c r="BM177" s="181"/>
      <c r="BN177" s="181"/>
      <c r="BO177" s="188">
        <f t="shared" si="232"/>
        <v>0</v>
      </c>
      <c r="BP177" s="188">
        <f t="shared" si="232"/>
        <v>0</v>
      </c>
      <c r="BQ177" s="188">
        <f t="shared" si="232"/>
        <v>0</v>
      </c>
      <c r="BR177" s="212"/>
      <c r="BS177" s="212"/>
      <c r="BT177" s="181"/>
      <c r="BW177" s="181"/>
      <c r="BX177" s="190"/>
    </row>
    <row r="178" spans="1:76" s="204" customFormat="1" x14ac:dyDescent="0.25">
      <c r="A178" s="416"/>
      <c r="B178" s="375"/>
      <c r="C178" s="193" t="s">
        <v>69</v>
      </c>
      <c r="D178" s="193" t="s">
        <v>70</v>
      </c>
      <c r="E178" s="194">
        <v>310515</v>
      </c>
      <c r="F178" s="194">
        <f t="shared" si="191"/>
        <v>347776.80000000005</v>
      </c>
      <c r="G178" s="402">
        <v>1818</v>
      </c>
      <c r="H178" s="404"/>
      <c r="I178" s="195"/>
      <c r="J178" s="195">
        <f>I178*1.12</f>
        <v>0</v>
      </c>
      <c r="K178" s="446" t="s">
        <v>111</v>
      </c>
      <c r="L178" s="391" t="s">
        <v>112</v>
      </c>
      <c r="M178" s="406" t="s">
        <v>96</v>
      </c>
      <c r="N178" s="196">
        <f t="shared" ref="N178:O193" si="233">P178</f>
        <v>66864843.374999993</v>
      </c>
      <c r="O178" s="196">
        <f t="shared" si="233"/>
        <v>74888624.579999998</v>
      </c>
      <c r="P178" s="196">
        <f>Q178/1.12</f>
        <v>66864843.374999993</v>
      </c>
      <c r="Q178" s="196">
        <v>74888624.579999998</v>
      </c>
      <c r="R178" s="353" t="s">
        <v>113</v>
      </c>
      <c r="S178" s="365">
        <v>59</v>
      </c>
      <c r="T178" s="214"/>
      <c r="U178" s="214"/>
      <c r="V178" s="214"/>
      <c r="W178" s="214"/>
      <c r="X178" s="214"/>
      <c r="Y178" s="214"/>
      <c r="Z178" s="198"/>
      <c r="AA178" s="198"/>
      <c r="AB178" s="198"/>
      <c r="AC178" s="198">
        <f>34858-1+25982</f>
        <v>60839</v>
      </c>
      <c r="AD178" s="199">
        <f>AC178*1.12</f>
        <v>68139.680000000008</v>
      </c>
      <c r="AE178" s="198">
        <f>26+12+21</f>
        <v>59</v>
      </c>
      <c r="AF178" s="198">
        <f t="shared" ref="AF178:AH193" si="234">Z178+AC178</f>
        <v>60839</v>
      </c>
      <c r="AG178" s="198">
        <f t="shared" si="234"/>
        <v>68139.680000000008</v>
      </c>
      <c r="AH178" s="198">
        <f t="shared" si="234"/>
        <v>59</v>
      </c>
      <c r="AI178" s="198"/>
      <c r="AJ178" s="198">
        <f>AI178*1.12</f>
        <v>0</v>
      </c>
      <c r="AK178" s="198"/>
      <c r="AL178" s="198"/>
      <c r="AM178" s="199">
        <f>AL178*1.12</f>
        <v>0</v>
      </c>
      <c r="AN178" s="198"/>
      <c r="AO178" s="199"/>
      <c r="AP178" s="199"/>
      <c r="AQ178" s="199"/>
      <c r="AR178" s="200"/>
      <c r="AS178" s="201"/>
      <c r="AT178" s="201"/>
      <c r="AU178" s="201"/>
      <c r="AV178" s="199">
        <f>ROUND(P178/1000,0)</f>
        <v>66865</v>
      </c>
      <c r="AW178" s="199">
        <f>AV178*1.12</f>
        <v>74888.800000000003</v>
      </c>
      <c r="AX178" s="199">
        <f>S178</f>
        <v>59</v>
      </c>
      <c r="AY178" s="199"/>
      <c r="AZ178" s="199"/>
      <c r="BA178" s="199"/>
      <c r="BB178" s="199"/>
      <c r="BC178" s="199"/>
      <c r="BD178" s="199"/>
      <c r="BE178" s="199"/>
      <c r="BF178" s="199"/>
      <c r="BG178" s="199"/>
      <c r="BH178" s="199"/>
      <c r="BI178" s="199"/>
      <c r="BJ178" s="199"/>
      <c r="BK178" s="199"/>
      <c r="BL178" s="199"/>
      <c r="BM178" s="202"/>
      <c r="BN178" s="202"/>
      <c r="BO178" s="202"/>
      <c r="BP178" s="202"/>
      <c r="BQ178" s="202"/>
      <c r="BR178" s="202"/>
      <c r="BS178" s="202"/>
      <c r="BT178" s="202"/>
      <c r="BW178" s="202"/>
      <c r="BX178" s="205"/>
    </row>
    <row r="179" spans="1:76" s="97" customFormat="1" x14ac:dyDescent="0.25">
      <c r="A179" s="416"/>
      <c r="B179" s="375"/>
      <c r="C179" s="117" t="s">
        <v>71</v>
      </c>
      <c r="D179" s="117" t="s">
        <v>72</v>
      </c>
      <c r="E179" s="163">
        <f>E180</f>
        <v>310515</v>
      </c>
      <c r="F179" s="163">
        <f t="shared" si="191"/>
        <v>347776.80000000005</v>
      </c>
      <c r="G179" s="403"/>
      <c r="H179" s="405"/>
      <c r="I179" s="161">
        <f>I180</f>
        <v>95784.82142857142</v>
      </c>
      <c r="J179" s="161">
        <f>I179*1.12</f>
        <v>107279</v>
      </c>
      <c r="K179" s="447"/>
      <c r="L179" s="392"/>
      <c r="M179" s="406"/>
      <c r="N179" s="120">
        <f t="shared" si="233"/>
        <v>66864843.374999993</v>
      </c>
      <c r="O179" s="120">
        <f t="shared" si="233"/>
        <v>74888624.579999998</v>
      </c>
      <c r="P179" s="120">
        <f t="shared" ref="P179:P180" si="235">Q179/1.12</f>
        <v>66864843.374999993</v>
      </c>
      <c r="Q179" s="120">
        <f>Q178</f>
        <v>74888624.579999998</v>
      </c>
      <c r="R179" s="375"/>
      <c r="S179" s="365"/>
      <c r="T179" s="206"/>
      <c r="U179" s="206"/>
      <c r="V179" s="206"/>
      <c r="W179" s="206"/>
      <c r="X179" s="206"/>
      <c r="Y179" s="206"/>
      <c r="Z179" s="119"/>
      <c r="AA179" s="119"/>
      <c r="AB179" s="119"/>
      <c r="AC179" s="216">
        <f>15638.9385/1.12+19832.46051/1.12+21748.00508/1.12+3469.31012/1.12</f>
        <v>54186.351973214281</v>
      </c>
      <c r="AD179" s="226">
        <f>AC179*1.12</f>
        <v>60688.714209999998</v>
      </c>
      <c r="AE179" s="227"/>
      <c r="AF179" s="119">
        <f t="shared" si="234"/>
        <v>54186.351973214281</v>
      </c>
      <c r="AG179" s="119">
        <f t="shared" si="234"/>
        <v>60688.714209999998</v>
      </c>
      <c r="AH179" s="119"/>
      <c r="AI179" s="119"/>
      <c r="AJ179" s="119">
        <f>AI179*1.12</f>
        <v>0</v>
      </c>
      <c r="AK179" s="119"/>
      <c r="AL179" s="119"/>
      <c r="AM179" s="226">
        <f>AL179*1.12</f>
        <v>0</v>
      </c>
      <c r="AN179" s="227"/>
      <c r="AO179" s="118">
        <f>AL179-AI179</f>
        <v>0</v>
      </c>
      <c r="AP179" s="118">
        <f>AO179*1.12</f>
        <v>0</v>
      </c>
      <c r="AQ179" s="118"/>
      <c r="AR179" s="121"/>
      <c r="AS179" s="122">
        <f t="shared" ref="AS179:AS180" si="236">AL179</f>
        <v>0</v>
      </c>
      <c r="AT179" s="122"/>
      <c r="AU179" s="122"/>
      <c r="AV179" s="118">
        <f>ROUND(P179/1000,0)</f>
        <v>66865</v>
      </c>
      <c r="AW179" s="118">
        <f t="shared" ref="AW179:AW180" si="237">AV179*1.12</f>
        <v>74888.800000000003</v>
      </c>
      <c r="AX179" s="118"/>
      <c r="AY179" s="118"/>
      <c r="AZ179" s="118"/>
      <c r="BA179" s="118"/>
      <c r="BB179" s="118"/>
      <c r="BC179" s="118"/>
      <c r="BD179" s="118"/>
      <c r="BE179" s="118"/>
      <c r="BF179" s="118"/>
      <c r="BG179" s="118"/>
      <c r="BH179" s="118"/>
      <c r="BI179" s="118"/>
      <c r="BJ179" s="118"/>
      <c r="BK179" s="118"/>
      <c r="BL179" s="118"/>
      <c r="BM179" s="100"/>
      <c r="BN179" s="100"/>
      <c r="BO179" s="100"/>
      <c r="BP179" s="100"/>
      <c r="BQ179" s="100"/>
      <c r="BR179" s="100"/>
      <c r="BS179" s="100"/>
      <c r="BT179" s="100"/>
      <c r="BU179" s="97">
        <v>20526140.170000002</v>
      </c>
      <c r="BW179" s="100"/>
      <c r="BX179" s="101"/>
    </row>
    <row r="180" spans="1:76" x14ac:dyDescent="0.25">
      <c r="A180" s="416"/>
      <c r="B180" s="375"/>
      <c r="C180" s="124" t="s">
        <v>71</v>
      </c>
      <c r="D180" s="124" t="s">
        <v>73</v>
      </c>
      <c r="E180" s="167">
        <f>E178</f>
        <v>310515</v>
      </c>
      <c r="F180" s="167">
        <f t="shared" si="191"/>
        <v>347776.80000000005</v>
      </c>
      <c r="G180" s="403"/>
      <c r="H180" s="405"/>
      <c r="I180" s="167">
        <f>(0+53470/1.12)+(7802/1.12+46007/1.12)</f>
        <v>95784.82142857142</v>
      </c>
      <c r="J180" s="166">
        <f>J179</f>
        <v>107279</v>
      </c>
      <c r="K180" s="448"/>
      <c r="L180" s="393"/>
      <c r="M180" s="406"/>
      <c r="N180" s="127">
        <f t="shared" si="233"/>
        <v>66864843.374999993</v>
      </c>
      <c r="O180" s="127">
        <f t="shared" si="233"/>
        <v>74888624.579999998</v>
      </c>
      <c r="P180" s="127">
        <f t="shared" si="235"/>
        <v>66864843.374999993</v>
      </c>
      <c r="Q180" s="127">
        <f>Q179</f>
        <v>74888624.579999998</v>
      </c>
      <c r="R180" s="375"/>
      <c r="S180" s="365"/>
      <c r="T180" s="37"/>
      <c r="U180" s="37"/>
      <c r="V180" s="37"/>
      <c r="W180" s="37"/>
      <c r="X180" s="37"/>
      <c r="Y180" s="37"/>
      <c r="Z180" s="126"/>
      <c r="AA180" s="126"/>
      <c r="AB180" s="126"/>
      <c r="AC180" s="126">
        <f>AC179</f>
        <v>54186.351973214281</v>
      </c>
      <c r="AD180" s="228">
        <f>AC180*1.12</f>
        <v>60688.714209999998</v>
      </c>
      <c r="AE180" s="229"/>
      <c r="AF180" s="126">
        <f t="shared" si="234"/>
        <v>54186.351973214281</v>
      </c>
      <c r="AG180" s="126">
        <f t="shared" si="234"/>
        <v>60688.714209999998</v>
      </c>
      <c r="AH180" s="126"/>
      <c r="AI180" s="126">
        <f>AI179</f>
        <v>0</v>
      </c>
      <c r="AJ180" s="126">
        <f>AI180*1.12</f>
        <v>0</v>
      </c>
      <c r="AK180" s="126"/>
      <c r="AL180" s="126">
        <f>AL179</f>
        <v>0</v>
      </c>
      <c r="AM180" s="228">
        <f>AL180*1.12</f>
        <v>0</v>
      </c>
      <c r="AN180" s="229"/>
      <c r="AO180" s="125">
        <f>AO179</f>
        <v>0</v>
      </c>
      <c r="AP180" s="125">
        <f>AP179</f>
        <v>0</v>
      </c>
      <c r="AQ180" s="125"/>
      <c r="AR180" s="128"/>
      <c r="AS180" s="129">
        <f t="shared" si="236"/>
        <v>0</v>
      </c>
      <c r="AT180" s="129"/>
      <c r="AU180" s="129"/>
      <c r="AV180" s="125">
        <f>AV179</f>
        <v>66865</v>
      </c>
      <c r="AW180" s="125">
        <f t="shared" si="237"/>
        <v>74888.800000000003</v>
      </c>
      <c r="AX180" s="125"/>
      <c r="AY180" s="125"/>
      <c r="AZ180" s="125"/>
      <c r="BA180" s="125"/>
      <c r="BB180" s="125"/>
      <c r="BC180" s="125"/>
      <c r="BD180" s="125"/>
      <c r="BE180" s="125"/>
      <c r="BF180" s="125"/>
      <c r="BG180" s="125"/>
      <c r="BH180" s="125"/>
      <c r="BI180" s="125"/>
      <c r="BJ180" s="125"/>
      <c r="BK180" s="125"/>
      <c r="BL180" s="125"/>
      <c r="BM180" s="25"/>
      <c r="BN180" s="25"/>
      <c r="BO180" s="25"/>
      <c r="BP180" s="25"/>
      <c r="BQ180" s="25"/>
      <c r="BR180" s="25"/>
      <c r="BS180" s="25"/>
      <c r="BT180" s="25"/>
      <c r="BW180" s="25"/>
      <c r="BX180" s="26"/>
    </row>
    <row r="181" spans="1:76" s="204" customFormat="1" collapsed="1" x14ac:dyDescent="0.25">
      <c r="A181" s="416"/>
      <c r="B181" s="375"/>
      <c r="C181" s="193" t="s">
        <v>69</v>
      </c>
      <c r="D181" s="193" t="s">
        <v>70</v>
      </c>
      <c r="E181" s="194"/>
      <c r="F181" s="194"/>
      <c r="G181" s="403"/>
      <c r="H181" s="405"/>
      <c r="I181" s="195"/>
      <c r="J181" s="195"/>
      <c r="K181" s="444" t="s">
        <v>115</v>
      </c>
      <c r="L181" s="445" t="s">
        <v>116</v>
      </c>
      <c r="M181" s="406" t="s">
        <v>96</v>
      </c>
      <c r="N181" s="196">
        <f t="shared" si="233"/>
        <v>3399907.2857142854</v>
      </c>
      <c r="O181" s="196">
        <f t="shared" si="233"/>
        <v>3807896.16</v>
      </c>
      <c r="P181" s="196">
        <f>Q181/1.12</f>
        <v>3399907.2857142854</v>
      </c>
      <c r="Q181" s="196">
        <v>3807896.16</v>
      </c>
      <c r="R181" s="375"/>
      <c r="S181" s="365">
        <v>3</v>
      </c>
      <c r="T181" s="214"/>
      <c r="U181" s="214"/>
      <c r="V181" s="214"/>
      <c r="W181" s="214"/>
      <c r="X181" s="214"/>
      <c r="Y181" s="214"/>
      <c r="Z181" s="198"/>
      <c r="AA181" s="198"/>
      <c r="AB181" s="198"/>
      <c r="AC181" s="198">
        <v>1890</v>
      </c>
      <c r="AD181" s="199">
        <f>AC181*1.12</f>
        <v>2116.8000000000002</v>
      </c>
      <c r="AE181" s="198">
        <f>3</f>
        <v>3</v>
      </c>
      <c r="AF181" s="198">
        <f t="shared" si="234"/>
        <v>1890</v>
      </c>
      <c r="AG181" s="198">
        <f t="shared" si="234"/>
        <v>2116.8000000000002</v>
      </c>
      <c r="AH181" s="198">
        <f t="shared" si="234"/>
        <v>3</v>
      </c>
      <c r="AI181" s="198"/>
      <c r="AJ181" s="198"/>
      <c r="AK181" s="198"/>
      <c r="AL181" s="198"/>
      <c r="AM181" s="199">
        <f>AL181*1.12</f>
        <v>0</v>
      </c>
      <c r="AN181" s="198"/>
      <c r="AO181" s="199"/>
      <c r="AP181" s="199"/>
      <c r="AQ181" s="199"/>
      <c r="AR181" s="200" t="str">
        <f t="shared" si="207"/>
        <v/>
      </c>
      <c r="AS181" s="201"/>
      <c r="AT181" s="201"/>
      <c r="AU181" s="201"/>
      <c r="AV181" s="199">
        <f>ROUND(P181/1000,0)</f>
        <v>3400</v>
      </c>
      <c r="AW181" s="199">
        <f>AV181*1.12</f>
        <v>3808.0000000000005</v>
      </c>
      <c r="AX181" s="199">
        <f>S181</f>
        <v>3</v>
      </c>
      <c r="AY181" s="199"/>
      <c r="AZ181" s="199"/>
      <c r="BA181" s="199"/>
      <c r="BB181" s="199"/>
      <c r="BC181" s="199"/>
      <c r="BD181" s="199"/>
      <c r="BE181" s="199"/>
      <c r="BF181" s="199"/>
      <c r="BG181" s="199"/>
      <c r="BH181" s="199"/>
      <c r="BI181" s="199"/>
      <c r="BJ181" s="199"/>
      <c r="BK181" s="199"/>
      <c r="BL181" s="199"/>
      <c r="BM181" s="230"/>
      <c r="BN181" s="230"/>
      <c r="BO181" s="230"/>
      <c r="BP181" s="230"/>
      <c r="BQ181" s="230"/>
      <c r="BR181" s="230"/>
      <c r="BS181" s="230"/>
      <c r="BT181" s="230"/>
      <c r="BW181" s="202"/>
      <c r="BX181" s="205"/>
    </row>
    <row r="182" spans="1:76" s="97" customFormat="1" x14ac:dyDescent="0.25">
      <c r="A182" s="416"/>
      <c r="B182" s="375"/>
      <c r="C182" s="117" t="s">
        <v>71</v>
      </c>
      <c r="D182" s="117" t="s">
        <v>72</v>
      </c>
      <c r="E182" s="163"/>
      <c r="F182" s="163"/>
      <c r="G182" s="403"/>
      <c r="H182" s="405"/>
      <c r="I182" s="161"/>
      <c r="J182" s="161"/>
      <c r="K182" s="444"/>
      <c r="L182" s="445"/>
      <c r="M182" s="406"/>
      <c r="N182" s="120">
        <f t="shared" si="233"/>
        <v>3399907.2857142854</v>
      </c>
      <c r="O182" s="120">
        <f t="shared" si="233"/>
        <v>3807896.16</v>
      </c>
      <c r="P182" s="120">
        <f t="shared" ref="P182:P189" si="238">Q182/1.12</f>
        <v>3399907.2857142854</v>
      </c>
      <c r="Q182" s="120">
        <f>Q181</f>
        <v>3807896.16</v>
      </c>
      <c r="R182" s="375"/>
      <c r="S182" s="365"/>
      <c r="T182" s="206"/>
      <c r="U182" s="206"/>
      <c r="V182" s="206"/>
      <c r="W182" s="206"/>
      <c r="X182" s="206"/>
      <c r="Y182" s="206"/>
      <c r="Z182" s="119"/>
      <c r="AA182" s="119"/>
      <c r="AB182" s="119"/>
      <c r="AC182" s="235">
        <f>AD182/1.12</f>
        <v>1888.4487589285711</v>
      </c>
      <c r="AD182" s="163">
        <v>2115.0626099999999</v>
      </c>
      <c r="AE182" s="119"/>
      <c r="AF182" s="119">
        <f t="shared" si="234"/>
        <v>1888.4487589285711</v>
      </c>
      <c r="AG182" s="119">
        <f t="shared" si="234"/>
        <v>2115.0626099999999</v>
      </c>
      <c r="AH182" s="119"/>
      <c r="AI182" s="119"/>
      <c r="AJ182" s="119"/>
      <c r="AK182" s="119"/>
      <c r="AL182" s="161"/>
      <c r="AM182" s="163">
        <f>AL182*1.12</f>
        <v>0</v>
      </c>
      <c r="AN182" s="119"/>
      <c r="AO182" s="118">
        <f>AL182-AI182</f>
        <v>0</v>
      </c>
      <c r="AP182" s="118">
        <f>AO182*1.12</f>
        <v>0</v>
      </c>
      <c r="AQ182" s="118"/>
      <c r="AR182" s="121" t="str">
        <f t="shared" si="207"/>
        <v/>
      </c>
      <c r="AS182" s="122">
        <f t="shared" ref="AS182:AS183" si="239">AL182</f>
        <v>0</v>
      </c>
      <c r="AT182" s="122"/>
      <c r="AU182" s="122"/>
      <c r="AV182" s="118">
        <f>ROUND(P182/1000,0)</f>
        <v>3400</v>
      </c>
      <c r="AW182" s="118">
        <f t="shared" ref="AW182:AW183" si="240">AV182*1.12</f>
        <v>3808.0000000000005</v>
      </c>
      <c r="AX182" s="118"/>
      <c r="AY182" s="118"/>
      <c r="AZ182" s="118"/>
      <c r="BA182" s="118"/>
      <c r="BB182" s="118"/>
      <c r="BC182" s="118"/>
      <c r="BD182" s="118"/>
      <c r="BE182" s="118"/>
      <c r="BF182" s="118"/>
      <c r="BG182" s="118"/>
      <c r="BH182" s="118"/>
      <c r="BI182" s="118"/>
      <c r="BJ182" s="118"/>
      <c r="BK182" s="118"/>
      <c r="BL182" s="118"/>
      <c r="BM182" s="123"/>
      <c r="BN182" s="123"/>
      <c r="BO182" s="123"/>
      <c r="BP182" s="123"/>
      <c r="BQ182" s="123"/>
      <c r="BR182" s="123"/>
      <c r="BS182" s="123"/>
      <c r="BT182" s="123"/>
      <c r="BW182" s="100"/>
      <c r="BX182" s="101"/>
    </row>
    <row r="183" spans="1:76" x14ac:dyDescent="0.25">
      <c r="A183" s="416"/>
      <c r="B183" s="375"/>
      <c r="C183" s="124" t="s">
        <v>71</v>
      </c>
      <c r="D183" s="124" t="s">
        <v>73</v>
      </c>
      <c r="E183" s="167"/>
      <c r="F183" s="167"/>
      <c r="G183" s="403"/>
      <c r="H183" s="405"/>
      <c r="I183" s="166"/>
      <c r="J183" s="166"/>
      <c r="K183" s="444"/>
      <c r="L183" s="445"/>
      <c r="M183" s="406"/>
      <c r="N183" s="127">
        <f t="shared" si="233"/>
        <v>3399907.2857142854</v>
      </c>
      <c r="O183" s="127">
        <f t="shared" si="233"/>
        <v>3807896.16</v>
      </c>
      <c r="P183" s="127">
        <f t="shared" si="238"/>
        <v>3399907.2857142854</v>
      </c>
      <c r="Q183" s="127">
        <f>Q181</f>
        <v>3807896.16</v>
      </c>
      <c r="R183" s="354"/>
      <c r="S183" s="365"/>
      <c r="T183" s="37"/>
      <c r="U183" s="37"/>
      <c r="V183" s="37"/>
      <c r="W183" s="37"/>
      <c r="X183" s="37"/>
      <c r="Y183" s="37"/>
      <c r="Z183" s="126"/>
      <c r="AA183" s="126"/>
      <c r="AB183" s="126"/>
      <c r="AC183" s="126">
        <f>AC182</f>
        <v>1888.4487589285711</v>
      </c>
      <c r="AD183" s="125">
        <f>AD182</f>
        <v>2115.0626099999999</v>
      </c>
      <c r="AE183" s="126"/>
      <c r="AF183" s="126">
        <f t="shared" si="234"/>
        <v>1888.4487589285711</v>
      </c>
      <c r="AG183" s="126">
        <f t="shared" si="234"/>
        <v>2115.0626099999999</v>
      </c>
      <c r="AH183" s="126"/>
      <c r="AI183" s="126"/>
      <c r="AJ183" s="126"/>
      <c r="AK183" s="126"/>
      <c r="AL183" s="126">
        <f>AL182</f>
        <v>0</v>
      </c>
      <c r="AM183" s="125">
        <f>AM182</f>
        <v>0</v>
      </c>
      <c r="AN183" s="126"/>
      <c r="AO183" s="125">
        <f>AO182</f>
        <v>0</v>
      </c>
      <c r="AP183" s="125">
        <f>AP182</f>
        <v>0</v>
      </c>
      <c r="AQ183" s="125"/>
      <c r="AR183" s="128" t="str">
        <f t="shared" si="207"/>
        <v/>
      </c>
      <c r="AS183" s="129">
        <f t="shared" si="239"/>
        <v>0</v>
      </c>
      <c r="AT183" s="129"/>
      <c r="AU183" s="129"/>
      <c r="AV183" s="125">
        <f>AV182</f>
        <v>3400</v>
      </c>
      <c r="AW183" s="125">
        <f t="shared" si="240"/>
        <v>3808.0000000000005</v>
      </c>
      <c r="AX183" s="125"/>
      <c r="AY183" s="118"/>
      <c r="AZ183" s="118"/>
      <c r="BA183" s="118"/>
      <c r="BB183" s="118"/>
      <c r="BC183" s="118"/>
      <c r="BD183" s="118"/>
      <c r="BE183" s="118"/>
      <c r="BF183" s="118"/>
      <c r="BG183" s="118"/>
      <c r="BH183" s="118"/>
      <c r="BI183" s="118"/>
      <c r="BJ183" s="118"/>
      <c r="BK183" s="118"/>
      <c r="BL183" s="118"/>
      <c r="BM183" s="123"/>
      <c r="BN183" s="123"/>
      <c r="BO183" s="123"/>
      <c r="BP183" s="123"/>
      <c r="BQ183" s="123"/>
      <c r="BR183" s="123"/>
      <c r="BS183" s="123"/>
      <c r="BT183" s="123"/>
      <c r="BW183" s="25"/>
      <c r="BX183" s="26"/>
    </row>
    <row r="184" spans="1:76" s="204" customFormat="1" x14ac:dyDescent="0.25">
      <c r="A184" s="416"/>
      <c r="B184" s="375"/>
      <c r="C184" s="193" t="s">
        <v>69</v>
      </c>
      <c r="D184" s="193" t="s">
        <v>70</v>
      </c>
      <c r="E184" s="194"/>
      <c r="F184" s="194">
        <f>E184*1.12</f>
        <v>0</v>
      </c>
      <c r="G184" s="403"/>
      <c r="H184" s="405"/>
      <c r="I184" s="195"/>
      <c r="J184" s="195"/>
      <c r="K184" s="396" t="s">
        <v>111</v>
      </c>
      <c r="L184" s="441" t="s">
        <v>117</v>
      </c>
      <c r="M184" s="406" t="s">
        <v>96</v>
      </c>
      <c r="N184" s="196">
        <f t="shared" si="233"/>
        <v>139395000</v>
      </c>
      <c r="O184" s="196">
        <f t="shared" si="233"/>
        <v>156122400</v>
      </c>
      <c r="P184" s="196">
        <f t="shared" si="238"/>
        <v>139395000</v>
      </c>
      <c r="Q184" s="196">
        <v>156122400</v>
      </c>
      <c r="R184" s="369" t="s">
        <v>118</v>
      </c>
      <c r="S184" s="365">
        <v>123</v>
      </c>
      <c r="T184" s="214"/>
      <c r="U184" s="214"/>
      <c r="V184" s="214"/>
      <c r="W184" s="214"/>
      <c r="X184" s="214"/>
      <c r="Y184" s="214"/>
      <c r="Z184" s="198"/>
      <c r="AA184" s="198"/>
      <c r="AB184" s="198"/>
      <c r="AC184" s="198">
        <v>141460</v>
      </c>
      <c r="AD184" s="199">
        <f>AC184*1.12</f>
        <v>158435.20000000001</v>
      </c>
      <c r="AE184" s="198">
        <f>6+37+44+36</f>
        <v>123</v>
      </c>
      <c r="AF184" s="198">
        <f t="shared" si="234"/>
        <v>141460</v>
      </c>
      <c r="AG184" s="198">
        <f t="shared" si="234"/>
        <v>158435.20000000001</v>
      </c>
      <c r="AH184" s="198">
        <f t="shared" si="234"/>
        <v>123</v>
      </c>
      <c r="AI184" s="198"/>
      <c r="AJ184" s="198"/>
      <c r="AK184" s="198"/>
      <c r="AL184" s="198"/>
      <c r="AM184" s="199">
        <f>AL184*1.12</f>
        <v>0</v>
      </c>
      <c r="AN184" s="198"/>
      <c r="AO184" s="199"/>
      <c r="AP184" s="199"/>
      <c r="AQ184" s="199"/>
      <c r="AR184" s="200" t="str">
        <f t="shared" si="207"/>
        <v/>
      </c>
      <c r="AS184" s="201"/>
      <c r="AT184" s="201"/>
      <c r="AU184" s="201"/>
      <c r="AV184" s="199">
        <f>E178-AV178-AV181</f>
        <v>240250</v>
      </c>
      <c r="AW184" s="199">
        <f>AV184*1.12</f>
        <v>269080</v>
      </c>
      <c r="AX184" s="199">
        <f>H178-AX178-AX181</f>
        <v>-62</v>
      </c>
      <c r="AY184" s="199"/>
      <c r="AZ184" s="199"/>
      <c r="BA184" s="199"/>
      <c r="BB184" s="199"/>
      <c r="BC184" s="199"/>
      <c r="BD184" s="199"/>
      <c r="BE184" s="199"/>
      <c r="BF184" s="199"/>
      <c r="BG184" s="199"/>
      <c r="BH184" s="199"/>
      <c r="BI184" s="199"/>
      <c r="BJ184" s="199"/>
      <c r="BK184" s="199"/>
      <c r="BL184" s="199"/>
      <c r="BM184" s="203"/>
      <c r="BN184" s="203"/>
      <c r="BO184" s="202"/>
      <c r="BP184" s="202"/>
      <c r="BQ184" s="202"/>
      <c r="BR184" s="203"/>
      <c r="BS184" s="203"/>
      <c r="BT184" s="202"/>
      <c r="BW184" s="202"/>
      <c r="BX184" s="205"/>
    </row>
    <row r="185" spans="1:76" s="97" customFormat="1" x14ac:dyDescent="0.25">
      <c r="A185" s="416"/>
      <c r="B185" s="375"/>
      <c r="C185" s="117" t="s">
        <v>71</v>
      </c>
      <c r="D185" s="117" t="s">
        <v>72</v>
      </c>
      <c r="E185" s="163"/>
      <c r="F185" s="163">
        <f t="shared" ref="F185:F186" si="241">E185*1.12</f>
        <v>0</v>
      </c>
      <c r="G185" s="403"/>
      <c r="H185" s="405"/>
      <c r="I185" s="161"/>
      <c r="J185" s="161"/>
      <c r="K185" s="397"/>
      <c r="L185" s="442"/>
      <c r="M185" s="406"/>
      <c r="N185" s="120">
        <f t="shared" si="233"/>
        <v>139395000</v>
      </c>
      <c r="O185" s="120">
        <f t="shared" si="233"/>
        <v>156122400</v>
      </c>
      <c r="P185" s="120">
        <f t="shared" si="238"/>
        <v>139395000</v>
      </c>
      <c r="Q185" s="120">
        <f>Q184</f>
        <v>156122400</v>
      </c>
      <c r="R185" s="369"/>
      <c r="S185" s="365"/>
      <c r="T185" s="206"/>
      <c r="U185" s="206"/>
      <c r="V185" s="206"/>
      <c r="W185" s="206"/>
      <c r="X185" s="206"/>
      <c r="Y185" s="206"/>
      <c r="Z185" s="119"/>
      <c r="AA185" s="119"/>
      <c r="AB185" s="119"/>
      <c r="AC185" s="236">
        <f>7019.01607/1.12+39745.49846/1.12</f>
        <v>41754.030830357144</v>
      </c>
      <c r="AD185" s="118">
        <f>AC185*1.12</f>
        <v>46764.514530000008</v>
      </c>
      <c r="AE185" s="119"/>
      <c r="AF185" s="119">
        <f t="shared" si="234"/>
        <v>41754.030830357144</v>
      </c>
      <c r="AG185" s="119">
        <f t="shared" si="234"/>
        <v>46764.514530000008</v>
      </c>
      <c r="AH185" s="119"/>
      <c r="AI185" s="119">
        <f>53470.24637/1.12+46007.18246/1.12</f>
        <v>88819.132883928571</v>
      </c>
      <c r="AJ185" s="119">
        <f>AI185*1.12</f>
        <v>99477.428830000004</v>
      </c>
      <c r="AK185" s="119"/>
      <c r="AL185" s="119">
        <f>53470.24637/1.12+46007.18246/1.12</f>
        <v>88819.132883928571</v>
      </c>
      <c r="AM185" s="118">
        <f>AL185*1.12</f>
        <v>99477.428830000004</v>
      </c>
      <c r="AN185" s="119"/>
      <c r="AO185" s="118">
        <f>AL185-AI185</f>
        <v>0</v>
      </c>
      <c r="AP185" s="118">
        <f>AO185*1.12</f>
        <v>0</v>
      </c>
      <c r="AQ185" s="118"/>
      <c r="AR185" s="121">
        <f t="shared" si="207"/>
        <v>1</v>
      </c>
      <c r="AS185" s="122">
        <f t="shared" ref="AS185:AS186" si="242">AL185</f>
        <v>88819.132883928571</v>
      </c>
      <c r="AT185" s="122"/>
      <c r="AU185" s="122"/>
      <c r="AV185" s="118">
        <f>E179-AV179-AV182</f>
        <v>240250</v>
      </c>
      <c r="AW185" s="118">
        <f t="shared" si="178"/>
        <v>269080</v>
      </c>
      <c r="AX185" s="118"/>
      <c r="AY185" s="118"/>
      <c r="AZ185" s="118"/>
      <c r="BA185" s="118"/>
      <c r="BB185" s="118"/>
      <c r="BC185" s="118"/>
      <c r="BD185" s="118"/>
      <c r="BE185" s="118"/>
      <c r="BF185" s="118"/>
      <c r="BG185" s="118"/>
      <c r="BH185" s="118"/>
      <c r="BI185" s="118"/>
      <c r="BJ185" s="118"/>
      <c r="BK185" s="118"/>
      <c r="BL185" s="118"/>
      <c r="BM185" s="207"/>
      <c r="BN185" s="207"/>
      <c r="BO185" s="100"/>
      <c r="BP185" s="100"/>
      <c r="BQ185" s="100"/>
      <c r="BR185" s="207"/>
      <c r="BS185" s="207"/>
      <c r="BT185" s="100"/>
      <c r="BW185" s="100"/>
      <c r="BX185" s="101"/>
    </row>
    <row r="186" spans="1:76" x14ac:dyDescent="0.25">
      <c r="A186" s="416"/>
      <c r="B186" s="375"/>
      <c r="C186" s="124" t="s">
        <v>71</v>
      </c>
      <c r="D186" s="124" t="s">
        <v>73</v>
      </c>
      <c r="E186" s="167"/>
      <c r="F186" s="167">
        <f t="shared" si="241"/>
        <v>0</v>
      </c>
      <c r="G186" s="403"/>
      <c r="H186" s="405"/>
      <c r="I186" s="166"/>
      <c r="J186" s="166"/>
      <c r="K186" s="398"/>
      <c r="L186" s="443"/>
      <c r="M186" s="406"/>
      <c r="N186" s="127">
        <f t="shared" si="233"/>
        <v>139395000</v>
      </c>
      <c r="O186" s="127">
        <f t="shared" si="233"/>
        <v>156122400</v>
      </c>
      <c r="P186" s="127">
        <f t="shared" si="238"/>
        <v>139395000</v>
      </c>
      <c r="Q186" s="127">
        <f>Q185</f>
        <v>156122400</v>
      </c>
      <c r="R186" s="369"/>
      <c r="S186" s="365"/>
      <c r="T186" s="37"/>
      <c r="U186" s="37"/>
      <c r="V186" s="37"/>
      <c r="W186" s="37"/>
      <c r="X186" s="37"/>
      <c r="Y186" s="37"/>
      <c r="Z186" s="126"/>
      <c r="AA186" s="126"/>
      <c r="AB186" s="126"/>
      <c r="AC186" s="126">
        <f>AC185</f>
        <v>41754.030830357144</v>
      </c>
      <c r="AD186" s="125">
        <f>AD185</f>
        <v>46764.514530000008</v>
      </c>
      <c r="AE186" s="126"/>
      <c r="AF186" s="126">
        <f t="shared" si="234"/>
        <v>41754.030830357144</v>
      </c>
      <c r="AG186" s="126">
        <f t="shared" si="234"/>
        <v>46764.514530000008</v>
      </c>
      <c r="AH186" s="126"/>
      <c r="AI186" s="126">
        <f>AI185</f>
        <v>88819.132883928571</v>
      </c>
      <c r="AJ186" s="126">
        <f>AI186*1.12</f>
        <v>99477.428830000004</v>
      </c>
      <c r="AK186" s="126"/>
      <c r="AL186" s="126">
        <f>AL185</f>
        <v>88819.132883928571</v>
      </c>
      <c r="AM186" s="125">
        <f>AM185</f>
        <v>99477.428830000004</v>
      </c>
      <c r="AN186" s="126"/>
      <c r="AO186" s="125">
        <f>AO185</f>
        <v>0</v>
      </c>
      <c r="AP186" s="125">
        <f>AP185</f>
        <v>0</v>
      </c>
      <c r="AQ186" s="125"/>
      <c r="AR186" s="128">
        <f t="shared" si="207"/>
        <v>1</v>
      </c>
      <c r="AS186" s="129">
        <f t="shared" si="242"/>
        <v>88819.132883928571</v>
      </c>
      <c r="AT186" s="129"/>
      <c r="AU186" s="129"/>
      <c r="AV186" s="125">
        <f>AV185</f>
        <v>240250</v>
      </c>
      <c r="AW186" s="125">
        <f t="shared" si="178"/>
        <v>269080</v>
      </c>
      <c r="AX186" s="125"/>
      <c r="AY186" s="125"/>
      <c r="AZ186" s="125"/>
      <c r="BA186" s="125"/>
      <c r="BB186" s="125"/>
      <c r="BC186" s="125"/>
      <c r="BD186" s="125"/>
      <c r="BE186" s="125"/>
      <c r="BF186" s="125"/>
      <c r="BG186" s="125"/>
      <c r="BH186" s="125"/>
      <c r="BI186" s="125"/>
      <c r="BJ186" s="125"/>
      <c r="BK186" s="125"/>
      <c r="BL186" s="125"/>
      <c r="BM186" s="208"/>
      <c r="BN186" s="208"/>
      <c r="BO186" s="25"/>
      <c r="BP186" s="25"/>
      <c r="BQ186" s="25"/>
      <c r="BR186" s="208"/>
      <c r="BS186" s="208"/>
      <c r="BT186" s="25"/>
      <c r="BW186" s="25"/>
      <c r="BX186" s="26"/>
    </row>
    <row r="187" spans="1:76" s="204" customFormat="1" x14ac:dyDescent="0.25">
      <c r="A187" s="416"/>
      <c r="B187" s="375"/>
      <c r="C187" s="193" t="s">
        <v>69</v>
      </c>
      <c r="D187" s="193" t="s">
        <v>70</v>
      </c>
      <c r="E187" s="194"/>
      <c r="F187" s="194"/>
      <c r="G187" s="403"/>
      <c r="H187" s="405"/>
      <c r="I187" s="195"/>
      <c r="J187" s="195"/>
      <c r="K187" s="388" t="s">
        <v>106</v>
      </c>
      <c r="L187" s="391" t="s">
        <v>107</v>
      </c>
      <c r="M187" s="372" t="s">
        <v>96</v>
      </c>
      <c r="N187" s="196">
        <f t="shared" si="233"/>
        <v>4397213.4196428573</v>
      </c>
      <c r="O187" s="196">
        <f t="shared" si="233"/>
        <v>4924879.03</v>
      </c>
      <c r="P187" s="196">
        <f t="shared" si="238"/>
        <v>4397213.4196428573</v>
      </c>
      <c r="Q187" s="196">
        <v>4924879.03</v>
      </c>
      <c r="R187" s="369" t="s">
        <v>108</v>
      </c>
      <c r="S187" s="365">
        <v>4</v>
      </c>
      <c r="T187" s="214"/>
      <c r="U187" s="214"/>
      <c r="V187" s="214"/>
      <c r="W187" s="214"/>
      <c r="X187" s="214"/>
      <c r="Y187" s="214"/>
      <c r="Z187" s="198"/>
      <c r="AA187" s="198"/>
      <c r="AB187" s="198"/>
      <c r="AC187" s="198">
        <v>2852</v>
      </c>
      <c r="AD187" s="199">
        <f t="shared" ref="AD187:AD195" si="243">AC187*1.12</f>
        <v>3194.2400000000002</v>
      </c>
      <c r="AE187" s="198">
        <f>4</f>
        <v>4</v>
      </c>
      <c r="AF187" s="198">
        <f t="shared" si="234"/>
        <v>2852</v>
      </c>
      <c r="AG187" s="198">
        <f t="shared" si="234"/>
        <v>3194.2400000000002</v>
      </c>
      <c r="AH187" s="198">
        <f t="shared" si="234"/>
        <v>4</v>
      </c>
      <c r="AI187" s="198"/>
      <c r="AJ187" s="198"/>
      <c r="AK187" s="198"/>
      <c r="AL187" s="198"/>
      <c r="AM187" s="199">
        <f t="shared" ref="AM187:AM195" si="244">AL187*1.12</f>
        <v>0</v>
      </c>
      <c r="AN187" s="198"/>
      <c r="AO187" s="199"/>
      <c r="AP187" s="199"/>
      <c r="AQ187" s="199"/>
      <c r="AR187" s="200" t="str">
        <f t="shared" si="207"/>
        <v/>
      </c>
      <c r="AS187" s="201"/>
      <c r="AT187" s="201"/>
      <c r="AU187" s="201"/>
      <c r="AV187" s="199"/>
      <c r="AW187" s="199">
        <f>AV187*1.12</f>
        <v>0</v>
      </c>
      <c r="AX187" s="199"/>
      <c r="AY187" s="199"/>
      <c r="AZ187" s="199"/>
      <c r="BA187" s="199"/>
      <c r="BB187" s="199"/>
      <c r="BC187" s="199"/>
      <c r="BD187" s="199"/>
      <c r="BE187" s="199"/>
      <c r="BF187" s="199"/>
      <c r="BG187" s="199"/>
      <c r="BH187" s="199"/>
      <c r="BI187" s="199"/>
      <c r="BJ187" s="199"/>
      <c r="BK187" s="199"/>
      <c r="BL187" s="199"/>
      <c r="BM187" s="202"/>
      <c r="BN187" s="202"/>
      <c r="BO187" s="202"/>
      <c r="BP187" s="202"/>
      <c r="BQ187" s="202"/>
      <c r="BR187" s="202"/>
      <c r="BS187" s="202"/>
      <c r="BT187" s="202"/>
      <c r="BW187" s="202"/>
      <c r="BX187" s="205"/>
    </row>
    <row r="188" spans="1:76" s="97" customFormat="1" x14ac:dyDescent="0.25">
      <c r="A188" s="416"/>
      <c r="B188" s="375"/>
      <c r="C188" s="117" t="s">
        <v>71</v>
      </c>
      <c r="D188" s="117" t="s">
        <v>72</v>
      </c>
      <c r="E188" s="163"/>
      <c r="F188" s="163"/>
      <c r="G188" s="403"/>
      <c r="H188" s="405"/>
      <c r="I188" s="161"/>
      <c r="J188" s="161"/>
      <c r="K188" s="389"/>
      <c r="L188" s="392"/>
      <c r="M188" s="373"/>
      <c r="N188" s="120">
        <f t="shared" si="233"/>
        <v>4397213.4196428573</v>
      </c>
      <c r="O188" s="120">
        <f t="shared" si="233"/>
        <v>4924879.03</v>
      </c>
      <c r="P188" s="120">
        <f t="shared" si="238"/>
        <v>4397213.4196428573</v>
      </c>
      <c r="Q188" s="120">
        <f>Q187</f>
        <v>4924879.03</v>
      </c>
      <c r="R188" s="369"/>
      <c r="S188" s="365"/>
      <c r="T188" s="206"/>
      <c r="U188" s="206"/>
      <c r="V188" s="206"/>
      <c r="W188" s="206"/>
      <c r="X188" s="206"/>
      <c r="Y188" s="206"/>
      <c r="Z188" s="119"/>
      <c r="AA188" s="119"/>
      <c r="AB188" s="119"/>
      <c r="AC188" s="216">
        <f>2807.28278/1.12</f>
        <v>2506.5024821428569</v>
      </c>
      <c r="AD188" s="118">
        <f t="shared" si="243"/>
        <v>2807.28278</v>
      </c>
      <c r="AE188" s="119"/>
      <c r="AF188" s="119">
        <f t="shared" si="234"/>
        <v>2506.5024821428569</v>
      </c>
      <c r="AG188" s="119">
        <f t="shared" si="234"/>
        <v>2807.28278</v>
      </c>
      <c r="AH188" s="119"/>
      <c r="AI188" s="119"/>
      <c r="AJ188" s="119"/>
      <c r="AK188" s="119"/>
      <c r="AL188" s="119"/>
      <c r="AM188" s="118">
        <f t="shared" si="244"/>
        <v>0</v>
      </c>
      <c r="AN188" s="119"/>
      <c r="AO188" s="118">
        <f>AL188-AI188</f>
        <v>0</v>
      </c>
      <c r="AP188" s="118">
        <f>AO188*1.12</f>
        <v>0</v>
      </c>
      <c r="AQ188" s="118"/>
      <c r="AR188" s="121" t="str">
        <f t="shared" si="207"/>
        <v/>
      </c>
      <c r="AS188" s="122">
        <f t="shared" ref="AS188:AS189" si="245">AL188</f>
        <v>0</v>
      </c>
      <c r="AT188" s="122"/>
      <c r="AU188" s="122"/>
      <c r="AV188" s="118">
        <f>AL188</f>
        <v>0</v>
      </c>
      <c r="AW188" s="118">
        <f t="shared" si="178"/>
        <v>0</v>
      </c>
      <c r="AX188" s="118"/>
      <c r="AY188" s="118"/>
      <c r="AZ188" s="118"/>
      <c r="BA188" s="118"/>
      <c r="BB188" s="118"/>
      <c r="BC188" s="118"/>
      <c r="BD188" s="118"/>
      <c r="BE188" s="118"/>
      <c r="BF188" s="118"/>
      <c r="BG188" s="118"/>
      <c r="BH188" s="118"/>
      <c r="BI188" s="118"/>
      <c r="BJ188" s="118"/>
      <c r="BK188" s="118"/>
      <c r="BL188" s="118"/>
      <c r="BM188" s="100"/>
      <c r="BN188" s="100"/>
      <c r="BO188" s="100"/>
      <c r="BP188" s="100"/>
      <c r="BQ188" s="100"/>
      <c r="BR188" s="100"/>
      <c r="BS188" s="100"/>
      <c r="BT188" s="100"/>
      <c r="BU188" s="97">
        <v>31030466.559999999</v>
      </c>
      <c r="BW188" s="100"/>
      <c r="BX188" s="101"/>
    </row>
    <row r="189" spans="1:76" x14ac:dyDescent="0.25">
      <c r="A189" s="416"/>
      <c r="B189" s="375"/>
      <c r="C189" s="124" t="s">
        <v>71</v>
      </c>
      <c r="D189" s="124" t="s">
        <v>73</v>
      </c>
      <c r="E189" s="167"/>
      <c r="F189" s="167"/>
      <c r="G189" s="403"/>
      <c r="H189" s="405"/>
      <c r="I189" s="166"/>
      <c r="J189" s="166"/>
      <c r="K189" s="390"/>
      <c r="L189" s="393"/>
      <c r="M189" s="374"/>
      <c r="N189" s="127">
        <f t="shared" si="233"/>
        <v>4397213.4196428573</v>
      </c>
      <c r="O189" s="127">
        <f t="shared" si="233"/>
        <v>4924879.03</v>
      </c>
      <c r="P189" s="127">
        <f t="shared" si="238"/>
        <v>4397213.4196428573</v>
      </c>
      <c r="Q189" s="232">
        <f>Q188</f>
        <v>4924879.03</v>
      </c>
      <c r="R189" s="369"/>
      <c r="S189" s="365"/>
      <c r="T189" s="37"/>
      <c r="U189" s="37"/>
      <c r="V189" s="37"/>
      <c r="W189" s="37"/>
      <c r="X189" s="37"/>
      <c r="Y189" s="37"/>
      <c r="Z189" s="126"/>
      <c r="AA189" s="126"/>
      <c r="AB189" s="126"/>
      <c r="AC189" s="126">
        <f>AC188</f>
        <v>2506.5024821428569</v>
      </c>
      <c r="AD189" s="125">
        <f t="shared" si="243"/>
        <v>2807.28278</v>
      </c>
      <c r="AE189" s="126"/>
      <c r="AF189" s="126">
        <f t="shared" si="234"/>
        <v>2506.5024821428569</v>
      </c>
      <c r="AG189" s="126">
        <f t="shared" si="234"/>
        <v>2807.28278</v>
      </c>
      <c r="AH189" s="126"/>
      <c r="AI189" s="126"/>
      <c r="AJ189" s="126"/>
      <c r="AK189" s="126"/>
      <c r="AL189" s="126">
        <f>AL188</f>
        <v>0</v>
      </c>
      <c r="AM189" s="125">
        <f t="shared" si="244"/>
        <v>0</v>
      </c>
      <c r="AN189" s="126"/>
      <c r="AO189" s="125">
        <f>AO188</f>
        <v>0</v>
      </c>
      <c r="AP189" s="125">
        <f>AP188</f>
        <v>0</v>
      </c>
      <c r="AQ189" s="125"/>
      <c r="AR189" s="128" t="str">
        <f t="shared" si="207"/>
        <v/>
      </c>
      <c r="AS189" s="129">
        <f t="shared" si="245"/>
        <v>0</v>
      </c>
      <c r="AT189" s="129"/>
      <c r="AU189" s="129"/>
      <c r="AV189" s="125">
        <f>AL189</f>
        <v>0</v>
      </c>
      <c r="AW189" s="125">
        <f t="shared" si="178"/>
        <v>0</v>
      </c>
      <c r="AX189" s="125"/>
      <c r="AY189" s="125"/>
      <c r="AZ189" s="125"/>
      <c r="BA189" s="125"/>
      <c r="BB189" s="125"/>
      <c r="BC189" s="125"/>
      <c r="BD189" s="125"/>
      <c r="BE189" s="125"/>
      <c r="BF189" s="125"/>
      <c r="BG189" s="125"/>
      <c r="BH189" s="125"/>
      <c r="BI189" s="125"/>
      <c r="BJ189" s="125"/>
      <c r="BK189" s="125"/>
      <c r="BL189" s="125"/>
      <c r="BM189" s="25"/>
      <c r="BN189" s="25"/>
      <c r="BO189" s="25"/>
      <c r="BP189" s="25"/>
      <c r="BQ189" s="25"/>
      <c r="BR189" s="25"/>
      <c r="BS189" s="25"/>
      <c r="BT189" s="25"/>
      <c r="BW189" s="25"/>
      <c r="BX189" s="26"/>
    </row>
    <row r="190" spans="1:76" s="204" customFormat="1" x14ac:dyDescent="0.25">
      <c r="A190" s="416"/>
      <c r="B190" s="375"/>
      <c r="C190" s="193" t="s">
        <v>69</v>
      </c>
      <c r="D190" s="193" t="s">
        <v>70</v>
      </c>
      <c r="E190" s="194"/>
      <c r="F190" s="194"/>
      <c r="G190" s="403"/>
      <c r="H190" s="405"/>
      <c r="I190" s="195"/>
      <c r="J190" s="195"/>
      <c r="K190" s="388" t="s">
        <v>115</v>
      </c>
      <c r="L190" s="437" t="s">
        <v>120</v>
      </c>
      <c r="M190" s="406" t="s">
        <v>96</v>
      </c>
      <c r="N190" s="196">
        <f t="shared" si="233"/>
        <v>9066400</v>
      </c>
      <c r="O190" s="196">
        <f t="shared" si="233"/>
        <v>10154368</v>
      </c>
      <c r="P190" s="196">
        <f>Q190/1.12</f>
        <v>9066400</v>
      </c>
      <c r="Q190" s="196">
        <v>10154368</v>
      </c>
      <c r="R190" s="369" t="s">
        <v>128</v>
      </c>
      <c r="S190" s="365">
        <v>8</v>
      </c>
      <c r="T190" s="214"/>
      <c r="U190" s="214"/>
      <c r="V190" s="214"/>
      <c r="W190" s="214"/>
      <c r="X190" s="214"/>
      <c r="Y190" s="214"/>
      <c r="Z190" s="198"/>
      <c r="AA190" s="198"/>
      <c r="AB190" s="198"/>
      <c r="AC190" s="198">
        <v>5902</v>
      </c>
      <c r="AD190" s="199">
        <f t="shared" si="243"/>
        <v>6610.2400000000007</v>
      </c>
      <c r="AE190" s="198">
        <v>8</v>
      </c>
      <c r="AF190" s="198">
        <f t="shared" si="234"/>
        <v>5902</v>
      </c>
      <c r="AG190" s="198">
        <f t="shared" si="234"/>
        <v>6610.2400000000007</v>
      </c>
      <c r="AH190" s="198">
        <f t="shared" si="234"/>
        <v>8</v>
      </c>
      <c r="AI190" s="198"/>
      <c r="AJ190" s="198"/>
      <c r="AK190" s="198"/>
      <c r="AL190" s="198"/>
      <c r="AM190" s="199">
        <f t="shared" si="244"/>
        <v>0</v>
      </c>
      <c r="AN190" s="198"/>
      <c r="AO190" s="199"/>
      <c r="AP190" s="199"/>
      <c r="AQ190" s="199"/>
      <c r="AR190" s="200" t="str">
        <f t="shared" si="207"/>
        <v/>
      </c>
      <c r="AS190" s="201"/>
      <c r="AT190" s="201"/>
      <c r="AU190" s="201"/>
      <c r="AV190" s="199"/>
      <c r="AW190" s="199">
        <f>AV190*1.12</f>
        <v>0</v>
      </c>
      <c r="AX190" s="199"/>
      <c r="AY190" s="199"/>
      <c r="AZ190" s="199"/>
      <c r="BA190" s="199"/>
      <c r="BB190" s="199"/>
      <c r="BC190" s="199"/>
      <c r="BD190" s="199"/>
      <c r="BE190" s="199"/>
      <c r="BF190" s="199"/>
      <c r="BG190" s="199"/>
      <c r="BH190" s="199"/>
      <c r="BI190" s="199"/>
      <c r="BJ190" s="199"/>
      <c r="BK190" s="199"/>
      <c r="BL190" s="199"/>
      <c r="BM190" s="202"/>
      <c r="BN190" s="202"/>
      <c r="BO190" s="202"/>
      <c r="BP190" s="202"/>
      <c r="BQ190" s="202"/>
      <c r="BR190" s="202"/>
      <c r="BS190" s="202"/>
      <c r="BT190" s="202"/>
      <c r="BW190" s="202"/>
      <c r="BX190" s="205"/>
    </row>
    <row r="191" spans="1:76" s="97" customFormat="1" x14ac:dyDescent="0.25">
      <c r="A191" s="416"/>
      <c r="B191" s="375"/>
      <c r="C191" s="117" t="s">
        <v>71</v>
      </c>
      <c r="D191" s="117" t="s">
        <v>72</v>
      </c>
      <c r="E191" s="163"/>
      <c r="F191" s="163"/>
      <c r="G191" s="403"/>
      <c r="H191" s="405"/>
      <c r="I191" s="161"/>
      <c r="J191" s="161"/>
      <c r="K191" s="389"/>
      <c r="L191" s="438"/>
      <c r="M191" s="406"/>
      <c r="N191" s="120">
        <f t="shared" si="233"/>
        <v>9066400</v>
      </c>
      <c r="O191" s="120">
        <f t="shared" si="233"/>
        <v>10154368</v>
      </c>
      <c r="P191" s="120">
        <f t="shared" ref="P191:P192" si="246">Q191/1.12</f>
        <v>9066400</v>
      </c>
      <c r="Q191" s="120">
        <f>Q190</f>
        <v>10154368</v>
      </c>
      <c r="R191" s="369"/>
      <c r="S191" s="365"/>
      <c r="T191" s="206"/>
      <c r="U191" s="206"/>
      <c r="V191" s="206"/>
      <c r="W191" s="206"/>
      <c r="X191" s="206"/>
      <c r="Y191" s="206"/>
      <c r="Z191" s="119"/>
      <c r="AA191" s="119"/>
      <c r="AB191" s="119"/>
      <c r="AC191" s="222">
        <f>591.0233/1.12+3947.41323/1.12+1410.13015/1.12</f>
        <v>5311.2202499999994</v>
      </c>
      <c r="AD191" s="118">
        <f t="shared" si="243"/>
        <v>5948.5666799999999</v>
      </c>
      <c r="AE191" s="119"/>
      <c r="AF191" s="119">
        <f t="shared" si="234"/>
        <v>5311.2202499999994</v>
      </c>
      <c r="AG191" s="119">
        <f t="shared" si="234"/>
        <v>5948.5666799999999</v>
      </c>
      <c r="AH191" s="119"/>
      <c r="AI191" s="119"/>
      <c r="AJ191" s="119"/>
      <c r="AK191" s="119"/>
      <c r="AL191" s="119"/>
      <c r="AM191" s="118">
        <f t="shared" si="244"/>
        <v>0</v>
      </c>
      <c r="AN191" s="119"/>
      <c r="AO191" s="118">
        <f>AL191-AI191</f>
        <v>0</v>
      </c>
      <c r="AP191" s="118">
        <f>AO191*1.12</f>
        <v>0</v>
      </c>
      <c r="AQ191" s="118"/>
      <c r="AR191" s="121" t="str">
        <f t="shared" si="207"/>
        <v/>
      </c>
      <c r="AS191" s="122">
        <f t="shared" ref="AS191:AS192" si="247">AL191</f>
        <v>0</v>
      </c>
      <c r="AT191" s="122"/>
      <c r="AU191" s="122"/>
      <c r="AV191" s="118">
        <f>AL191</f>
        <v>0</v>
      </c>
      <c r="AW191" s="118">
        <f t="shared" si="178"/>
        <v>0</v>
      </c>
      <c r="AX191" s="118"/>
      <c r="AY191" s="118"/>
      <c r="AZ191" s="118"/>
      <c r="BA191" s="118"/>
      <c r="BB191" s="118"/>
      <c r="BC191" s="118"/>
      <c r="BD191" s="118"/>
      <c r="BE191" s="118"/>
      <c r="BF191" s="118"/>
      <c r="BG191" s="118"/>
      <c r="BH191" s="118"/>
      <c r="BI191" s="118"/>
      <c r="BJ191" s="118"/>
      <c r="BK191" s="118"/>
      <c r="BL191" s="118"/>
      <c r="BM191" s="100"/>
      <c r="BN191" s="100"/>
      <c r="BO191" s="100"/>
      <c r="BP191" s="100"/>
      <c r="BQ191" s="100"/>
      <c r="BR191" s="100"/>
      <c r="BS191" s="100"/>
      <c r="BT191" s="100"/>
      <c r="BU191" s="97">
        <v>16411374.199999999</v>
      </c>
      <c r="BW191" s="100"/>
      <c r="BX191" s="101"/>
    </row>
    <row r="192" spans="1:76" x14ac:dyDescent="0.25">
      <c r="A192" s="416"/>
      <c r="B192" s="375"/>
      <c r="C192" s="124" t="s">
        <v>71</v>
      </c>
      <c r="D192" s="124" t="s">
        <v>73</v>
      </c>
      <c r="E192" s="167"/>
      <c r="F192" s="167"/>
      <c r="G192" s="403"/>
      <c r="H192" s="405"/>
      <c r="I192" s="166"/>
      <c r="J192" s="166"/>
      <c r="K192" s="390"/>
      <c r="L192" s="439"/>
      <c r="M192" s="406"/>
      <c r="N192" s="127">
        <f t="shared" si="233"/>
        <v>9066400</v>
      </c>
      <c r="O192" s="127">
        <f t="shared" si="233"/>
        <v>10154368</v>
      </c>
      <c r="P192" s="127">
        <f t="shared" si="246"/>
        <v>9066400</v>
      </c>
      <c r="Q192" s="127">
        <f>Q191</f>
        <v>10154368</v>
      </c>
      <c r="R192" s="369"/>
      <c r="S192" s="365"/>
      <c r="T192" s="37"/>
      <c r="U192" s="37"/>
      <c r="V192" s="37"/>
      <c r="W192" s="37"/>
      <c r="X192" s="37"/>
      <c r="Y192" s="37"/>
      <c r="Z192" s="126"/>
      <c r="AA192" s="126"/>
      <c r="AB192" s="126"/>
      <c r="AC192" s="126">
        <f>AC191</f>
        <v>5311.2202499999994</v>
      </c>
      <c r="AD192" s="125">
        <f t="shared" si="243"/>
        <v>5948.5666799999999</v>
      </c>
      <c r="AE192" s="126"/>
      <c r="AF192" s="126">
        <f t="shared" si="234"/>
        <v>5311.2202499999994</v>
      </c>
      <c r="AG192" s="126">
        <f t="shared" si="234"/>
        <v>5948.5666799999999</v>
      </c>
      <c r="AH192" s="126"/>
      <c r="AI192" s="126"/>
      <c r="AJ192" s="126"/>
      <c r="AK192" s="126"/>
      <c r="AL192" s="126">
        <f>AL191</f>
        <v>0</v>
      </c>
      <c r="AM192" s="125">
        <f t="shared" si="244"/>
        <v>0</v>
      </c>
      <c r="AN192" s="126"/>
      <c r="AO192" s="125">
        <f>AO191</f>
        <v>0</v>
      </c>
      <c r="AP192" s="125">
        <f>AP191</f>
        <v>0</v>
      </c>
      <c r="AQ192" s="125"/>
      <c r="AR192" s="128" t="str">
        <f t="shared" si="207"/>
        <v/>
      </c>
      <c r="AS192" s="129">
        <f t="shared" si="247"/>
        <v>0</v>
      </c>
      <c r="AT192" s="129"/>
      <c r="AU192" s="129"/>
      <c r="AV192" s="125">
        <f>AL192</f>
        <v>0</v>
      </c>
      <c r="AW192" s="125">
        <f t="shared" si="178"/>
        <v>0</v>
      </c>
      <c r="AX192" s="125"/>
      <c r="AY192" s="125"/>
      <c r="AZ192" s="125"/>
      <c r="BA192" s="125"/>
      <c r="BB192" s="125"/>
      <c r="BC192" s="125"/>
      <c r="BD192" s="125"/>
      <c r="BE192" s="125"/>
      <c r="BF192" s="125"/>
      <c r="BG192" s="125"/>
      <c r="BH192" s="125"/>
      <c r="BI192" s="125"/>
      <c r="BJ192" s="125"/>
      <c r="BK192" s="125"/>
      <c r="BL192" s="125"/>
      <c r="BM192" s="25"/>
      <c r="BN192" s="25"/>
      <c r="BO192" s="25"/>
      <c r="BP192" s="25"/>
      <c r="BQ192" s="25"/>
      <c r="BR192" s="25"/>
      <c r="BS192" s="25"/>
      <c r="BT192" s="25"/>
      <c r="BW192" s="25"/>
      <c r="BX192" s="26"/>
    </row>
    <row r="193" spans="1:76" s="204" customFormat="1" x14ac:dyDescent="0.25">
      <c r="A193" s="416"/>
      <c r="B193" s="375"/>
      <c r="C193" s="193" t="s">
        <v>69</v>
      </c>
      <c r="D193" s="193" t="s">
        <v>70</v>
      </c>
      <c r="E193" s="194"/>
      <c r="F193" s="194"/>
      <c r="G193" s="403"/>
      <c r="H193" s="405"/>
      <c r="I193" s="195"/>
      <c r="J193" s="195"/>
      <c r="K193" s="396" t="s">
        <v>111</v>
      </c>
      <c r="L193" s="440" t="s">
        <v>121</v>
      </c>
      <c r="M193" s="406" t="s">
        <v>96</v>
      </c>
      <c r="N193" s="196">
        <f t="shared" si="233"/>
        <v>9066400</v>
      </c>
      <c r="O193" s="196">
        <f t="shared" si="233"/>
        <v>10154368</v>
      </c>
      <c r="P193" s="196">
        <f>Q193/1.12</f>
        <v>9066400</v>
      </c>
      <c r="Q193" s="196">
        <f>3807888+6346480</f>
        <v>10154368</v>
      </c>
      <c r="R193" s="369" t="s">
        <v>118</v>
      </c>
      <c r="S193" s="365">
        <f>3+5</f>
        <v>8</v>
      </c>
      <c r="T193" s="214"/>
      <c r="U193" s="214"/>
      <c r="V193" s="214"/>
      <c r="W193" s="214"/>
      <c r="X193" s="214"/>
      <c r="Y193" s="214"/>
      <c r="Z193" s="198"/>
      <c r="AA193" s="198"/>
      <c r="AB193" s="198"/>
      <c r="AC193" s="198">
        <v>7527</v>
      </c>
      <c r="AD193" s="199">
        <f t="shared" si="243"/>
        <v>8430.2400000000016</v>
      </c>
      <c r="AE193" s="198">
        <v>8</v>
      </c>
      <c r="AF193" s="198">
        <f t="shared" si="234"/>
        <v>7527</v>
      </c>
      <c r="AG193" s="198">
        <f t="shared" si="234"/>
        <v>8430.2400000000016</v>
      </c>
      <c r="AH193" s="198">
        <f t="shared" si="234"/>
        <v>8</v>
      </c>
      <c r="AI193" s="198"/>
      <c r="AJ193" s="198"/>
      <c r="AK193" s="198"/>
      <c r="AL193" s="198"/>
      <c r="AM193" s="199">
        <f t="shared" si="244"/>
        <v>0</v>
      </c>
      <c r="AN193" s="198"/>
      <c r="AO193" s="199"/>
      <c r="AP193" s="199"/>
      <c r="AQ193" s="199"/>
      <c r="AR193" s="200" t="str">
        <f t="shared" si="207"/>
        <v/>
      </c>
      <c r="AS193" s="201"/>
      <c r="AT193" s="201"/>
      <c r="AU193" s="201"/>
      <c r="AV193" s="199"/>
      <c r="AW193" s="199">
        <f>AV193*1.12</f>
        <v>0</v>
      </c>
      <c r="AX193" s="199"/>
      <c r="AY193" s="199"/>
      <c r="AZ193" s="199"/>
      <c r="BA193" s="199"/>
      <c r="BB193" s="199"/>
      <c r="BC193" s="199"/>
      <c r="BD193" s="199"/>
      <c r="BE193" s="199"/>
      <c r="BF193" s="237"/>
      <c r="BG193" s="199"/>
      <c r="BH193" s="199"/>
      <c r="BI193" s="199"/>
      <c r="BJ193" s="199"/>
      <c r="BK193" s="199"/>
      <c r="BL193" s="199"/>
      <c r="BM193" s="202"/>
      <c r="BN193" s="202"/>
      <c r="BO193" s="202"/>
      <c r="BP193" s="202"/>
      <c r="BQ193" s="202"/>
      <c r="BR193" s="202"/>
      <c r="BS193" s="202"/>
      <c r="BT193" s="202"/>
      <c r="BW193" s="202"/>
      <c r="BX193" s="205"/>
    </row>
    <row r="194" spans="1:76" s="97" customFormat="1" x14ac:dyDescent="0.25">
      <c r="A194" s="416"/>
      <c r="B194" s="375"/>
      <c r="C194" s="117" t="s">
        <v>71</v>
      </c>
      <c r="D194" s="117" t="s">
        <v>72</v>
      </c>
      <c r="E194" s="163"/>
      <c r="F194" s="163"/>
      <c r="G194" s="403"/>
      <c r="H194" s="405"/>
      <c r="I194" s="161"/>
      <c r="J194" s="161"/>
      <c r="K194" s="397"/>
      <c r="L194" s="440"/>
      <c r="M194" s="406"/>
      <c r="N194" s="120">
        <f t="shared" ref="N194:O195" si="248">P194</f>
        <v>9066400</v>
      </c>
      <c r="O194" s="120">
        <f t="shared" si="248"/>
        <v>10154368</v>
      </c>
      <c r="P194" s="120">
        <f t="shared" ref="P194:P195" si="249">Q194/1.12</f>
        <v>9066400</v>
      </c>
      <c r="Q194" s="120">
        <f>Q193</f>
        <v>10154368</v>
      </c>
      <c r="R194" s="369"/>
      <c r="S194" s="365"/>
      <c r="T194" s="206"/>
      <c r="U194" s="206"/>
      <c r="V194" s="206"/>
      <c r="W194" s="206"/>
      <c r="X194" s="206"/>
      <c r="Y194" s="206"/>
      <c r="Z194" s="119"/>
      <c r="AA194" s="119"/>
      <c r="AB194" s="119"/>
      <c r="AC194" s="119"/>
      <c r="AD194" s="118">
        <f t="shared" si="243"/>
        <v>0</v>
      </c>
      <c r="AE194" s="119"/>
      <c r="AF194" s="119">
        <f t="shared" ref="AF194:AG195" si="250">Z194+AC194</f>
        <v>0</v>
      </c>
      <c r="AG194" s="119">
        <f t="shared" si="250"/>
        <v>0</v>
      </c>
      <c r="AH194" s="119"/>
      <c r="AI194" s="119">
        <f>7802.18432/1.12</f>
        <v>6966.2359999999999</v>
      </c>
      <c r="AJ194" s="119">
        <f>AI194*1.12</f>
        <v>7802.1843200000003</v>
      </c>
      <c r="AK194" s="119"/>
      <c r="AL194" s="119">
        <f>7802.18432/1.12</f>
        <v>6966.2359999999999</v>
      </c>
      <c r="AM194" s="118">
        <f t="shared" si="244"/>
        <v>7802.1843200000003</v>
      </c>
      <c r="AN194" s="119"/>
      <c r="AO194" s="118">
        <f>AL194-AI194</f>
        <v>0</v>
      </c>
      <c r="AP194" s="118">
        <f>AO194*1.12</f>
        <v>0</v>
      </c>
      <c r="AQ194" s="118"/>
      <c r="AR194" s="121">
        <f t="shared" si="207"/>
        <v>1</v>
      </c>
      <c r="AS194" s="122">
        <f t="shared" ref="AS194:AS195" si="251">AL194</f>
        <v>6966.2359999999999</v>
      </c>
      <c r="AT194" s="122"/>
      <c r="AU194" s="122"/>
      <c r="AV194" s="118">
        <f>AL194</f>
        <v>6966.2359999999999</v>
      </c>
      <c r="AW194" s="118">
        <f t="shared" si="178"/>
        <v>7802.1843200000003</v>
      </c>
      <c r="AX194" s="118"/>
      <c r="AY194" s="118"/>
      <c r="AZ194" s="118"/>
      <c r="BA194" s="118"/>
      <c r="BB194" s="118"/>
      <c r="BC194" s="118"/>
      <c r="BD194" s="118"/>
      <c r="BE194" s="118"/>
      <c r="BF194" s="118"/>
      <c r="BG194" s="118"/>
      <c r="BH194" s="118"/>
      <c r="BI194" s="118"/>
      <c r="BJ194" s="118"/>
      <c r="BK194" s="118"/>
      <c r="BL194" s="118"/>
      <c r="BM194" s="100"/>
      <c r="BN194" s="100"/>
      <c r="BO194" s="100"/>
      <c r="BP194" s="100"/>
      <c r="BQ194" s="100"/>
      <c r="BR194" s="100"/>
      <c r="BS194" s="100"/>
      <c r="BT194" s="100"/>
      <c r="BU194" s="97">
        <v>11562480</v>
      </c>
      <c r="BW194" s="100"/>
      <c r="BX194" s="101"/>
    </row>
    <row r="195" spans="1:76" x14ac:dyDescent="0.25">
      <c r="A195" s="356"/>
      <c r="B195" s="354"/>
      <c r="C195" s="124" t="s">
        <v>71</v>
      </c>
      <c r="D195" s="124" t="s">
        <v>73</v>
      </c>
      <c r="E195" s="167"/>
      <c r="F195" s="167"/>
      <c r="G195" s="414"/>
      <c r="H195" s="415"/>
      <c r="I195" s="166"/>
      <c r="J195" s="166"/>
      <c r="K195" s="398"/>
      <c r="L195" s="440"/>
      <c r="M195" s="406"/>
      <c r="N195" s="127">
        <f t="shared" si="248"/>
        <v>9066400</v>
      </c>
      <c r="O195" s="127">
        <f t="shared" si="248"/>
        <v>10154368</v>
      </c>
      <c r="P195" s="127">
        <f t="shared" si="249"/>
        <v>9066400</v>
      </c>
      <c r="Q195" s="127">
        <f>Q194</f>
        <v>10154368</v>
      </c>
      <c r="R195" s="369"/>
      <c r="S195" s="365"/>
      <c r="T195" s="37"/>
      <c r="U195" s="37"/>
      <c r="V195" s="37"/>
      <c r="W195" s="37"/>
      <c r="X195" s="37"/>
      <c r="Y195" s="37"/>
      <c r="Z195" s="126"/>
      <c r="AA195" s="126"/>
      <c r="AB195" s="126"/>
      <c r="AC195" s="126">
        <f>AC194</f>
        <v>0</v>
      </c>
      <c r="AD195" s="125">
        <f t="shared" si="243"/>
        <v>0</v>
      </c>
      <c r="AE195" s="126"/>
      <c r="AF195" s="126">
        <f t="shared" si="250"/>
        <v>0</v>
      </c>
      <c r="AG195" s="126">
        <f t="shared" si="250"/>
        <v>0</v>
      </c>
      <c r="AH195" s="126"/>
      <c r="AI195" s="126">
        <f>AI194</f>
        <v>6966.2359999999999</v>
      </c>
      <c r="AJ195" s="126">
        <f>AJ194</f>
        <v>7802.1843200000003</v>
      </c>
      <c r="AK195" s="126"/>
      <c r="AL195" s="126">
        <f>AL194</f>
        <v>6966.2359999999999</v>
      </c>
      <c r="AM195" s="125">
        <f t="shared" si="244"/>
        <v>7802.1843200000003</v>
      </c>
      <c r="AN195" s="126"/>
      <c r="AO195" s="125">
        <f>AO194</f>
        <v>0</v>
      </c>
      <c r="AP195" s="125">
        <f>AP194</f>
        <v>0</v>
      </c>
      <c r="AQ195" s="125"/>
      <c r="AR195" s="128">
        <f t="shared" si="207"/>
        <v>1</v>
      </c>
      <c r="AS195" s="129">
        <f t="shared" si="251"/>
        <v>6966.2359999999999</v>
      </c>
      <c r="AT195" s="129"/>
      <c r="AU195" s="129"/>
      <c r="AV195" s="125">
        <f>AL195</f>
        <v>6966.2359999999999</v>
      </c>
      <c r="AW195" s="125">
        <f t="shared" ref="AW195" si="252">AV195*1.12</f>
        <v>7802.1843200000003</v>
      </c>
      <c r="AX195" s="125"/>
      <c r="AY195" s="125"/>
      <c r="AZ195" s="125"/>
      <c r="BA195" s="125"/>
      <c r="BB195" s="125"/>
      <c r="BC195" s="125"/>
      <c r="BD195" s="125"/>
      <c r="BE195" s="125"/>
      <c r="BF195" s="125"/>
      <c r="BG195" s="125"/>
      <c r="BH195" s="125"/>
      <c r="BI195" s="125"/>
      <c r="BJ195" s="125"/>
      <c r="BK195" s="125"/>
      <c r="BL195" s="125"/>
      <c r="BM195" s="25"/>
      <c r="BN195" s="25"/>
      <c r="BO195" s="25"/>
      <c r="BP195" s="25"/>
      <c r="BQ195" s="25"/>
      <c r="BR195" s="25"/>
      <c r="BS195" s="25"/>
      <c r="BT195" s="25"/>
      <c r="BW195" s="25"/>
      <c r="BX195" s="26"/>
    </row>
    <row r="196" spans="1:76" s="189" customFormat="1" x14ac:dyDescent="0.25">
      <c r="A196" s="355"/>
      <c r="B196" s="353" t="s">
        <v>129</v>
      </c>
      <c r="C196" s="180"/>
      <c r="D196" s="180"/>
      <c r="E196" s="182">
        <f>E198+E201</f>
        <v>113822</v>
      </c>
      <c r="F196" s="182">
        <f>F198+F201</f>
        <v>127480.64000000001</v>
      </c>
      <c r="G196" s="191"/>
      <c r="H196" s="182">
        <f>H198+H201</f>
        <v>45</v>
      </c>
      <c r="I196" s="182">
        <f>I198+I201</f>
        <v>113822</v>
      </c>
      <c r="J196" s="182">
        <f>J198+J201</f>
        <v>127480.64000000001</v>
      </c>
      <c r="K196" s="407" t="s">
        <v>130</v>
      </c>
      <c r="L196" s="408"/>
      <c r="M196" s="417" t="s">
        <v>96</v>
      </c>
      <c r="N196" s="238">
        <f t="shared" ref="N196:Q197" si="253">N198+N201</f>
        <v>92641558.928571418</v>
      </c>
      <c r="O196" s="238">
        <f t="shared" si="253"/>
        <v>103758546</v>
      </c>
      <c r="P196" s="238">
        <f t="shared" si="253"/>
        <v>92641558.928571418</v>
      </c>
      <c r="Q196" s="238">
        <f t="shared" si="253"/>
        <v>103758546</v>
      </c>
      <c r="R196" s="210"/>
      <c r="S196" s="413">
        <f>S198+S201</f>
        <v>45</v>
      </c>
      <c r="T196" s="182">
        <f>T198+T201</f>
        <v>0</v>
      </c>
      <c r="U196" s="182">
        <f>U198+U201</f>
        <v>0</v>
      </c>
      <c r="V196" s="182">
        <f>V198+V201</f>
        <v>0</v>
      </c>
      <c r="W196" s="182">
        <f t="shared" ref="W196:AQ197" si="254">W198+W201</f>
        <v>0</v>
      </c>
      <c r="X196" s="182">
        <f t="shared" si="254"/>
        <v>0</v>
      </c>
      <c r="Y196" s="182">
        <f t="shared" si="254"/>
        <v>0</v>
      </c>
      <c r="Z196" s="182">
        <f t="shared" si="254"/>
        <v>0</v>
      </c>
      <c r="AA196" s="182">
        <f t="shared" si="254"/>
        <v>0</v>
      </c>
      <c r="AB196" s="182">
        <f t="shared" si="254"/>
        <v>0</v>
      </c>
      <c r="AC196" s="182">
        <f t="shared" si="254"/>
        <v>0</v>
      </c>
      <c r="AD196" s="182">
        <f t="shared" si="254"/>
        <v>0</v>
      </c>
      <c r="AE196" s="182">
        <f t="shared" si="254"/>
        <v>0</v>
      </c>
      <c r="AF196" s="182">
        <f t="shared" si="254"/>
        <v>0</v>
      </c>
      <c r="AG196" s="182">
        <f t="shared" si="254"/>
        <v>0</v>
      </c>
      <c r="AH196" s="182">
        <f t="shared" si="254"/>
        <v>0</v>
      </c>
      <c r="AI196" s="182">
        <f t="shared" si="254"/>
        <v>113822</v>
      </c>
      <c r="AJ196" s="182">
        <f t="shared" si="254"/>
        <v>127480.64000000001</v>
      </c>
      <c r="AK196" s="182">
        <f t="shared" si="254"/>
        <v>45</v>
      </c>
      <c r="AL196" s="182">
        <f t="shared" si="254"/>
        <v>79762</v>
      </c>
      <c r="AM196" s="182">
        <f t="shared" si="254"/>
        <v>89333.440000000002</v>
      </c>
      <c r="AN196" s="182">
        <f t="shared" si="254"/>
        <v>45</v>
      </c>
      <c r="AO196" s="182">
        <f t="shared" si="254"/>
        <v>-34059.999999999993</v>
      </c>
      <c r="AP196" s="182">
        <f t="shared" si="254"/>
        <v>-38147.199999999997</v>
      </c>
      <c r="AQ196" s="182">
        <f t="shared" si="254"/>
        <v>0</v>
      </c>
      <c r="AR196" s="185">
        <f t="shared" si="207"/>
        <v>0.70076083709651915</v>
      </c>
      <c r="AS196" s="182">
        <f t="shared" ref="AS196:BL197" si="255">AS198+AS201</f>
        <v>0</v>
      </c>
      <c r="AT196" s="182">
        <f t="shared" si="255"/>
        <v>0</v>
      </c>
      <c r="AU196" s="182">
        <f t="shared" si="255"/>
        <v>0</v>
      </c>
      <c r="AV196" s="182">
        <f t="shared" si="255"/>
        <v>0</v>
      </c>
      <c r="AW196" s="182">
        <f t="shared" si="255"/>
        <v>0</v>
      </c>
      <c r="AX196" s="182">
        <f t="shared" si="255"/>
        <v>0</v>
      </c>
      <c r="AY196" s="182">
        <f t="shared" si="255"/>
        <v>0</v>
      </c>
      <c r="AZ196" s="182">
        <f t="shared" si="255"/>
        <v>-34059.999999999993</v>
      </c>
      <c r="BA196" s="182">
        <f t="shared" si="255"/>
        <v>0</v>
      </c>
      <c r="BB196" s="182">
        <f t="shared" si="255"/>
        <v>0</v>
      </c>
      <c r="BC196" s="182">
        <f t="shared" si="255"/>
        <v>0</v>
      </c>
      <c r="BD196" s="182">
        <f t="shared" si="255"/>
        <v>0</v>
      </c>
      <c r="BE196" s="182">
        <f t="shared" si="255"/>
        <v>0</v>
      </c>
      <c r="BF196" s="182">
        <f t="shared" si="255"/>
        <v>0</v>
      </c>
      <c r="BG196" s="182">
        <f t="shared" si="255"/>
        <v>0</v>
      </c>
      <c r="BH196" s="182">
        <f t="shared" si="255"/>
        <v>0</v>
      </c>
      <c r="BI196" s="182">
        <f t="shared" si="255"/>
        <v>0</v>
      </c>
      <c r="BJ196" s="182">
        <f t="shared" si="255"/>
        <v>0</v>
      </c>
      <c r="BK196" s="182">
        <f t="shared" si="255"/>
        <v>0</v>
      </c>
      <c r="BL196" s="182">
        <f t="shared" si="255"/>
        <v>0</v>
      </c>
      <c r="BM196" s="186" t="s">
        <v>103</v>
      </c>
      <c r="BN196" s="181"/>
      <c r="BO196" s="188" t="e">
        <f>BO198+BO201+#REF!+BO345+BO348+BO351</f>
        <v>#REF!</v>
      </c>
      <c r="BP196" s="188" t="e">
        <f>BP198+BP201+#REF!+BP345+BP348+BP351</f>
        <v>#REF!</v>
      </c>
      <c r="BQ196" s="188" t="e">
        <f>BQ198+BQ201+#REF!+BQ345+BQ348+BQ351</f>
        <v>#REF!</v>
      </c>
      <c r="BR196" s="212"/>
      <c r="BS196" s="212"/>
      <c r="BT196" s="181"/>
      <c r="BW196" s="181"/>
      <c r="BX196" s="190"/>
    </row>
    <row r="197" spans="1:76" s="189" customFormat="1" x14ac:dyDescent="0.25">
      <c r="A197" s="416"/>
      <c r="B197" s="375"/>
      <c r="C197" s="180"/>
      <c r="D197" s="180"/>
      <c r="E197" s="182">
        <f>E199+E202</f>
        <v>113822</v>
      </c>
      <c r="F197" s="182">
        <f>F199+F202</f>
        <v>127480.64000000001</v>
      </c>
      <c r="G197" s="191"/>
      <c r="H197" s="209"/>
      <c r="I197" s="182">
        <f>I199+I202</f>
        <v>113822</v>
      </c>
      <c r="J197" s="182">
        <f>J199+J202</f>
        <v>127480.64000000001</v>
      </c>
      <c r="K197" s="409"/>
      <c r="L197" s="410"/>
      <c r="M197" s="417"/>
      <c r="N197" s="238">
        <f t="shared" si="253"/>
        <v>92641558.928571418</v>
      </c>
      <c r="O197" s="238">
        <f t="shared" si="253"/>
        <v>103758546</v>
      </c>
      <c r="P197" s="238">
        <f t="shared" si="253"/>
        <v>92641558.928571418</v>
      </c>
      <c r="Q197" s="238">
        <f t="shared" si="253"/>
        <v>103758546</v>
      </c>
      <c r="R197" s="210"/>
      <c r="S197" s="413"/>
      <c r="T197" s="182">
        <f>T199+T202</f>
        <v>0</v>
      </c>
      <c r="U197" s="182">
        <f>U199+U202</f>
        <v>0</v>
      </c>
      <c r="V197" s="192"/>
      <c r="W197" s="182">
        <f t="shared" si="254"/>
        <v>0</v>
      </c>
      <c r="X197" s="182">
        <f t="shared" si="254"/>
        <v>0</v>
      </c>
      <c r="Y197" s="192"/>
      <c r="Z197" s="182">
        <f t="shared" si="254"/>
        <v>0</v>
      </c>
      <c r="AA197" s="182">
        <f t="shared" si="254"/>
        <v>0</v>
      </c>
      <c r="AB197" s="192"/>
      <c r="AC197" s="182">
        <f t="shared" si="254"/>
        <v>0</v>
      </c>
      <c r="AD197" s="182">
        <f t="shared" si="254"/>
        <v>0</v>
      </c>
      <c r="AE197" s="192"/>
      <c r="AF197" s="182">
        <f t="shared" si="254"/>
        <v>0</v>
      </c>
      <c r="AG197" s="182">
        <f t="shared" si="254"/>
        <v>0</v>
      </c>
      <c r="AH197" s="192"/>
      <c r="AI197" s="182">
        <f t="shared" si="254"/>
        <v>113822</v>
      </c>
      <c r="AJ197" s="182">
        <f t="shared" si="254"/>
        <v>127480.64000000001</v>
      </c>
      <c r="AK197" s="192"/>
      <c r="AL197" s="182">
        <f t="shared" si="254"/>
        <v>56000.632928571329</v>
      </c>
      <c r="AM197" s="182">
        <f t="shared" si="254"/>
        <v>62720.708879999896</v>
      </c>
      <c r="AN197" s="192"/>
      <c r="AO197" s="182">
        <f t="shared" si="254"/>
        <v>-57821.367071428664</v>
      </c>
      <c r="AP197" s="182">
        <f t="shared" si="254"/>
        <v>-64759.93112000011</v>
      </c>
      <c r="AQ197" s="192"/>
      <c r="AR197" s="185">
        <f t="shared" si="207"/>
        <v>0.49200183557283589</v>
      </c>
      <c r="AS197" s="182">
        <f t="shared" si="255"/>
        <v>0</v>
      </c>
      <c r="AT197" s="182">
        <f t="shared" si="255"/>
        <v>56000.632928571329</v>
      </c>
      <c r="AU197" s="182">
        <f t="shared" si="255"/>
        <v>0</v>
      </c>
      <c r="AV197" s="182">
        <f t="shared" si="255"/>
        <v>56000.632928571329</v>
      </c>
      <c r="AW197" s="182">
        <f t="shared" si="255"/>
        <v>62720.708879999896</v>
      </c>
      <c r="AX197" s="182">
        <f t="shared" si="255"/>
        <v>0</v>
      </c>
      <c r="AY197" s="182">
        <f t="shared" si="255"/>
        <v>0</v>
      </c>
      <c r="AZ197" s="182">
        <f t="shared" si="255"/>
        <v>0</v>
      </c>
      <c r="BA197" s="182">
        <f t="shared" si="255"/>
        <v>0</v>
      </c>
      <c r="BB197" s="182">
        <f t="shared" si="255"/>
        <v>0</v>
      </c>
      <c r="BC197" s="182">
        <f t="shared" si="255"/>
        <v>0</v>
      </c>
      <c r="BD197" s="182">
        <f t="shared" si="255"/>
        <v>0</v>
      </c>
      <c r="BE197" s="182">
        <f t="shared" si="255"/>
        <v>0</v>
      </c>
      <c r="BF197" s="182">
        <f t="shared" si="255"/>
        <v>0</v>
      </c>
      <c r="BG197" s="182">
        <f t="shared" si="255"/>
        <v>0</v>
      </c>
      <c r="BH197" s="182">
        <f t="shared" si="255"/>
        <v>0</v>
      </c>
      <c r="BI197" s="182">
        <f t="shared" si="255"/>
        <v>0</v>
      </c>
      <c r="BJ197" s="182">
        <f t="shared" si="255"/>
        <v>0</v>
      </c>
      <c r="BK197" s="182">
        <f t="shared" si="255"/>
        <v>0</v>
      </c>
      <c r="BL197" s="182">
        <f t="shared" si="255"/>
        <v>0</v>
      </c>
      <c r="BM197" s="181"/>
      <c r="BN197" s="181"/>
      <c r="BO197" s="188" t="e">
        <f>BO199+BO202+BO343+BO346+BO349+BO352</f>
        <v>#REF!</v>
      </c>
      <c r="BP197" s="188" t="e">
        <f>BP199+BP202+BP343+BP346+BP349+BP352</f>
        <v>#REF!</v>
      </c>
      <c r="BQ197" s="188" t="e">
        <f>BQ199+BQ202+BQ343+BQ346+BQ349+BQ352</f>
        <v>#REF!</v>
      </c>
      <c r="BR197" s="212"/>
      <c r="BS197" s="212"/>
      <c r="BT197" s="181"/>
      <c r="BW197" s="181"/>
      <c r="BX197" s="190"/>
    </row>
    <row r="198" spans="1:76" s="204" customFormat="1" x14ac:dyDescent="0.25">
      <c r="A198" s="416"/>
      <c r="B198" s="375"/>
      <c r="C198" s="193" t="s">
        <v>69</v>
      </c>
      <c r="D198" s="193" t="s">
        <v>70</v>
      </c>
      <c r="E198" s="194">
        <f>I198</f>
        <v>113822</v>
      </c>
      <c r="F198" s="194">
        <f>E198*1.12</f>
        <v>127480.64000000001</v>
      </c>
      <c r="G198" s="402">
        <v>1919</v>
      </c>
      <c r="H198" s="404">
        <v>45</v>
      </c>
      <c r="I198" s="195">
        <v>113822</v>
      </c>
      <c r="J198" s="195">
        <f>I198*1.12</f>
        <v>127480.64000000001</v>
      </c>
      <c r="K198" s="370" t="s">
        <v>124</v>
      </c>
      <c r="L198" s="419" t="s">
        <v>131</v>
      </c>
      <c r="M198" s="406" t="s">
        <v>96</v>
      </c>
      <c r="N198" s="196">
        <f t="shared" ref="N198:O203" si="256">P198</f>
        <v>62807836.598214276</v>
      </c>
      <c r="O198" s="196">
        <f t="shared" si="256"/>
        <v>70344776.989999995</v>
      </c>
      <c r="P198" s="196">
        <f>Q198/1.12</f>
        <v>62807836.598214276</v>
      </c>
      <c r="Q198" s="196">
        <v>70344776.989999995</v>
      </c>
      <c r="R198" s="369" t="s">
        <v>132</v>
      </c>
      <c r="S198" s="365">
        <v>30</v>
      </c>
      <c r="T198" s="214"/>
      <c r="U198" s="214"/>
      <c r="V198" s="214"/>
      <c r="W198" s="214"/>
      <c r="X198" s="214"/>
      <c r="Y198" s="214"/>
      <c r="Z198" s="198"/>
      <c r="AA198" s="198"/>
      <c r="AB198" s="198"/>
      <c r="AC198" s="198"/>
      <c r="AD198" s="199">
        <f t="shared" ref="AD198:AD203" si="257">AC198*1.12</f>
        <v>0</v>
      </c>
      <c r="AE198" s="198"/>
      <c r="AF198" s="198">
        <f t="shared" ref="AF198:AH203" si="258">Z198+AC198</f>
        <v>0</v>
      </c>
      <c r="AG198" s="198">
        <f t="shared" si="258"/>
        <v>0</v>
      </c>
      <c r="AH198" s="198">
        <f t="shared" si="258"/>
        <v>0</v>
      </c>
      <c r="AI198" s="198">
        <f>15176+15176+15176+17706+17706+17706+15176</f>
        <v>113822</v>
      </c>
      <c r="AJ198" s="198">
        <f>AI198*1.12</f>
        <v>127480.64000000001</v>
      </c>
      <c r="AK198" s="198">
        <f>6+6+6+7+7+7+6</f>
        <v>45</v>
      </c>
      <c r="AL198" s="198">
        <f>9537+9323+7006+1037+17715+1647+23140-2093</f>
        <v>67312</v>
      </c>
      <c r="AM198" s="199">
        <f t="shared" ref="AM198:AM203" si="259">AL198*1.12</f>
        <v>75389.440000000002</v>
      </c>
      <c r="AN198" s="198">
        <f>5+4+3+1+7+10</f>
        <v>30</v>
      </c>
      <c r="AO198" s="199">
        <f>AQ198*$AI$198/$AK$198+AL198-AI198/AK198*AN198</f>
        <v>-8569.3333333333285</v>
      </c>
      <c r="AP198" s="199">
        <f>AO198*1.12</f>
        <v>-9597.6533333333282</v>
      </c>
      <c r="AQ198" s="199">
        <f>AN198-(3+3+3+4+4+7+6)</f>
        <v>0</v>
      </c>
      <c r="AR198" s="200">
        <f t="shared" si="207"/>
        <v>0.5913795224121875</v>
      </c>
      <c r="AS198" s="201"/>
      <c r="AT198" s="201"/>
      <c r="AU198" s="201"/>
      <c r="AV198" s="199"/>
      <c r="AW198" s="199">
        <f>AV198*1.12</f>
        <v>0</v>
      </c>
      <c r="AX198" s="199"/>
      <c r="AY198" s="199"/>
      <c r="AZ198" s="199">
        <f>AL198-AI198/AK198*AN198</f>
        <v>-8569.3333333333285</v>
      </c>
      <c r="BA198" s="199"/>
      <c r="BB198" s="199"/>
      <c r="BC198" s="199"/>
      <c r="BD198" s="199"/>
      <c r="BE198" s="199"/>
      <c r="BF198" s="237"/>
      <c r="BG198" s="199"/>
      <c r="BH198" s="199"/>
      <c r="BI198" s="199"/>
      <c r="BJ198" s="199"/>
      <c r="BK198" s="199"/>
      <c r="BL198" s="199">
        <f>AQ198*$AI$198/$AK$198</f>
        <v>0</v>
      </c>
      <c r="BM198" s="202"/>
      <c r="BN198" s="202"/>
      <c r="BO198" s="202"/>
      <c r="BP198" s="202"/>
      <c r="BQ198" s="202"/>
      <c r="BR198" s="202"/>
      <c r="BS198" s="202"/>
      <c r="BT198" s="202"/>
      <c r="BW198" s="202"/>
      <c r="BX198" s="205"/>
    </row>
    <row r="199" spans="1:76" s="97" customFormat="1" x14ac:dyDescent="0.25">
      <c r="A199" s="416"/>
      <c r="B199" s="375"/>
      <c r="C199" s="117" t="s">
        <v>71</v>
      </c>
      <c r="D199" s="117" t="s">
        <v>72</v>
      </c>
      <c r="E199" s="163">
        <f>E198</f>
        <v>113822</v>
      </c>
      <c r="F199" s="163">
        <f>E199*1.12</f>
        <v>127480.64000000001</v>
      </c>
      <c r="G199" s="403"/>
      <c r="H199" s="405"/>
      <c r="I199" s="161">
        <f>I198</f>
        <v>113822</v>
      </c>
      <c r="J199" s="161">
        <f>I199*1.12</f>
        <v>127480.64000000001</v>
      </c>
      <c r="K199" s="370"/>
      <c r="L199" s="419"/>
      <c r="M199" s="406"/>
      <c r="N199" s="120">
        <f t="shared" si="256"/>
        <v>62807836.598214276</v>
      </c>
      <c r="O199" s="120">
        <f t="shared" si="256"/>
        <v>70344776.989999995</v>
      </c>
      <c r="P199" s="120">
        <f t="shared" ref="P199:P200" si="260">Q199/1.12</f>
        <v>62807836.598214276</v>
      </c>
      <c r="Q199" s="120">
        <f>Q198</f>
        <v>70344776.989999995</v>
      </c>
      <c r="R199" s="369"/>
      <c r="S199" s="365"/>
      <c r="T199" s="206"/>
      <c r="U199" s="206"/>
      <c r="V199" s="206"/>
      <c r="W199" s="206"/>
      <c r="X199" s="206"/>
      <c r="Y199" s="206"/>
      <c r="Z199" s="119"/>
      <c r="AA199" s="119"/>
      <c r="AB199" s="119"/>
      <c r="AC199" s="119"/>
      <c r="AD199" s="118">
        <f t="shared" si="257"/>
        <v>0</v>
      </c>
      <c r="AE199" s="119"/>
      <c r="AF199" s="119">
        <f t="shared" si="258"/>
        <v>0</v>
      </c>
      <c r="AG199" s="119">
        <f t="shared" si="258"/>
        <v>0</v>
      </c>
      <c r="AH199" s="119"/>
      <c r="AI199" s="119">
        <f>15176+15176+15176+17706+17706+17706+15176</f>
        <v>113822</v>
      </c>
      <c r="AJ199" s="119">
        <f>AI199*1.12</f>
        <v>127480.64000000001</v>
      </c>
      <c r="AK199" s="119"/>
      <c r="AL199" s="119">
        <f>10233.28492/1.12+8163.73094/1.12+6196.45893/1.12+1921.9961/1.12+14689.92442/1.12+21515.3135699999/1.12</f>
        <v>56000.632928571329</v>
      </c>
      <c r="AM199" s="118">
        <f t="shared" si="259"/>
        <v>62720.708879999896</v>
      </c>
      <c r="AN199" s="119"/>
      <c r="AO199" s="118">
        <f>AQ198*$AI$199/$AK$198+AL199-AI199/AK198*AN198</f>
        <v>-19880.700404761999</v>
      </c>
      <c r="AP199" s="118">
        <f>AO199*1.12</f>
        <v>-22266.384453333441</v>
      </c>
      <c r="AQ199" s="118"/>
      <c r="AR199" s="121">
        <f t="shared" si="207"/>
        <v>0.49200183557283589</v>
      </c>
      <c r="AS199" s="122"/>
      <c r="AT199" s="122">
        <f>AL199</f>
        <v>56000.632928571329</v>
      </c>
      <c r="AU199" s="122"/>
      <c r="AV199" s="118">
        <f>AL199</f>
        <v>56000.632928571329</v>
      </c>
      <c r="AW199" s="118">
        <f t="shared" ref="AW199:AW200" si="261">AV199*1.12</f>
        <v>62720.708879999896</v>
      </c>
      <c r="AX199" s="118"/>
      <c r="AY199" s="118"/>
      <c r="AZ199" s="118"/>
      <c r="BA199" s="118"/>
      <c r="BB199" s="118"/>
      <c r="BC199" s="118"/>
      <c r="BD199" s="118"/>
      <c r="BE199" s="118"/>
      <c r="BF199" s="118"/>
      <c r="BG199" s="118"/>
      <c r="BH199" s="118"/>
      <c r="BI199" s="118"/>
      <c r="BJ199" s="118"/>
      <c r="BK199" s="118"/>
      <c r="BL199" s="118"/>
      <c r="BM199" s="100"/>
      <c r="BN199" s="100"/>
      <c r="BO199" s="100"/>
      <c r="BP199" s="100"/>
      <c r="BQ199" s="100"/>
      <c r="BR199" s="100"/>
      <c r="BS199" s="100"/>
      <c r="BT199" s="100"/>
      <c r="BU199" s="97">
        <v>11562480</v>
      </c>
      <c r="BW199" s="100"/>
      <c r="BX199" s="101"/>
    </row>
    <row r="200" spans="1:76" x14ac:dyDescent="0.25">
      <c r="A200" s="416"/>
      <c r="B200" s="375"/>
      <c r="C200" s="124" t="s">
        <v>71</v>
      </c>
      <c r="D200" s="124" t="s">
        <v>73</v>
      </c>
      <c r="E200" s="167">
        <f>E199</f>
        <v>113822</v>
      </c>
      <c r="F200" s="167">
        <f>F199</f>
        <v>127480.64000000001</v>
      </c>
      <c r="G200" s="403"/>
      <c r="H200" s="405"/>
      <c r="I200" s="166">
        <f>I199</f>
        <v>113822</v>
      </c>
      <c r="J200" s="166">
        <f>J199</f>
        <v>127480.64000000001</v>
      </c>
      <c r="K200" s="370"/>
      <c r="L200" s="419"/>
      <c r="M200" s="406"/>
      <c r="N200" s="127">
        <f t="shared" si="256"/>
        <v>62807836.598214276</v>
      </c>
      <c r="O200" s="127">
        <f t="shared" si="256"/>
        <v>70344776.989999995</v>
      </c>
      <c r="P200" s="127">
        <f t="shared" si="260"/>
        <v>62807836.598214276</v>
      </c>
      <c r="Q200" s="127">
        <f>Q199</f>
        <v>70344776.989999995</v>
      </c>
      <c r="R200" s="369"/>
      <c r="S200" s="365"/>
      <c r="T200" s="37"/>
      <c r="U200" s="37"/>
      <c r="V200" s="37"/>
      <c r="W200" s="37"/>
      <c r="X200" s="37"/>
      <c r="Y200" s="37"/>
      <c r="Z200" s="126"/>
      <c r="AA200" s="126"/>
      <c r="AB200" s="126"/>
      <c r="AC200" s="126">
        <f>AC199</f>
        <v>0</v>
      </c>
      <c r="AD200" s="125">
        <f t="shared" si="257"/>
        <v>0</v>
      </c>
      <c r="AE200" s="126"/>
      <c r="AF200" s="126">
        <f t="shared" si="258"/>
        <v>0</v>
      </c>
      <c r="AG200" s="126">
        <f t="shared" si="258"/>
        <v>0</v>
      </c>
      <c r="AH200" s="126"/>
      <c r="AI200" s="126">
        <f>AI199</f>
        <v>113822</v>
      </c>
      <c r="AJ200" s="126">
        <f>AJ199</f>
        <v>127480.64000000001</v>
      </c>
      <c r="AK200" s="126"/>
      <c r="AL200" s="126">
        <f>AL199</f>
        <v>56000.632928571329</v>
      </c>
      <c r="AM200" s="125">
        <f t="shared" si="259"/>
        <v>62720.708879999896</v>
      </c>
      <c r="AN200" s="126"/>
      <c r="AO200" s="125">
        <f>AO199</f>
        <v>-19880.700404761999</v>
      </c>
      <c r="AP200" s="125">
        <f>AP199</f>
        <v>-22266.384453333441</v>
      </c>
      <c r="AQ200" s="125"/>
      <c r="AR200" s="128">
        <f t="shared" si="207"/>
        <v>0.49200183557283589</v>
      </c>
      <c r="AS200" s="129"/>
      <c r="AT200" s="129">
        <f>AL200</f>
        <v>56000.632928571329</v>
      </c>
      <c r="AU200" s="129"/>
      <c r="AV200" s="125">
        <f>AL200</f>
        <v>56000.632928571329</v>
      </c>
      <c r="AW200" s="125">
        <f t="shared" si="261"/>
        <v>62720.708879999896</v>
      </c>
      <c r="AX200" s="125"/>
      <c r="AY200" s="125"/>
      <c r="AZ200" s="125"/>
      <c r="BA200" s="125"/>
      <c r="BB200" s="125"/>
      <c r="BC200" s="125"/>
      <c r="BD200" s="125"/>
      <c r="BE200" s="125"/>
      <c r="BF200" s="125"/>
      <c r="BG200" s="125"/>
      <c r="BH200" s="125"/>
      <c r="BI200" s="125"/>
      <c r="BJ200" s="125"/>
      <c r="BK200" s="125"/>
      <c r="BL200" s="125"/>
      <c r="BM200" s="25"/>
      <c r="BN200" s="25"/>
      <c r="BO200" s="25"/>
      <c r="BP200" s="25"/>
      <c r="BQ200" s="25"/>
      <c r="BR200" s="25"/>
      <c r="BS200" s="25"/>
      <c r="BT200" s="25"/>
      <c r="BW200" s="25"/>
      <c r="BX200" s="26"/>
    </row>
    <row r="201" spans="1:76" s="204" customFormat="1" x14ac:dyDescent="0.25">
      <c r="A201" s="416"/>
      <c r="B201" s="375"/>
      <c r="C201" s="193" t="s">
        <v>69</v>
      </c>
      <c r="D201" s="193" t="s">
        <v>70</v>
      </c>
      <c r="E201" s="194"/>
      <c r="F201" s="194"/>
      <c r="G201" s="403"/>
      <c r="H201" s="405"/>
      <c r="I201" s="195"/>
      <c r="J201" s="195"/>
      <c r="K201" s="370" t="s">
        <v>106</v>
      </c>
      <c r="L201" s="369" t="s">
        <v>133</v>
      </c>
      <c r="M201" s="406" t="s">
        <v>96</v>
      </c>
      <c r="N201" s="196">
        <f t="shared" si="256"/>
        <v>29833722.330357142</v>
      </c>
      <c r="O201" s="196">
        <f t="shared" si="256"/>
        <v>33413769.010000002</v>
      </c>
      <c r="P201" s="196">
        <f>Q201/1.12</f>
        <v>29833722.330357142</v>
      </c>
      <c r="Q201" s="196">
        <f>33413769.01</f>
        <v>33413769.010000002</v>
      </c>
      <c r="R201" s="369" t="s">
        <v>134</v>
      </c>
      <c r="S201" s="365">
        <v>15</v>
      </c>
      <c r="T201" s="214"/>
      <c r="U201" s="214"/>
      <c r="V201" s="214"/>
      <c r="W201" s="214"/>
      <c r="X201" s="214"/>
      <c r="Y201" s="214"/>
      <c r="Z201" s="198"/>
      <c r="AA201" s="198"/>
      <c r="AB201" s="198"/>
      <c r="AC201" s="198"/>
      <c r="AD201" s="199">
        <f t="shared" si="257"/>
        <v>0</v>
      </c>
      <c r="AE201" s="198"/>
      <c r="AF201" s="198">
        <f t="shared" si="258"/>
        <v>0</v>
      </c>
      <c r="AG201" s="198">
        <f t="shared" si="258"/>
        <v>0</v>
      </c>
      <c r="AH201" s="198">
        <f t="shared" si="258"/>
        <v>0</v>
      </c>
      <c r="AI201" s="198"/>
      <c r="AJ201" s="198"/>
      <c r="AK201" s="198"/>
      <c r="AL201" s="198">
        <v>12450</v>
      </c>
      <c r="AM201" s="199">
        <f t="shared" si="259"/>
        <v>13944.000000000002</v>
      </c>
      <c r="AN201" s="198">
        <f>9+6</f>
        <v>15</v>
      </c>
      <c r="AO201" s="199">
        <f>AQ201*$AI$198/$AK$198+AL201-AI198/AK198*AN201</f>
        <v>-25490.666666666664</v>
      </c>
      <c r="AP201" s="199">
        <f>AO201*1.12</f>
        <v>-28549.546666666665</v>
      </c>
      <c r="AQ201" s="199">
        <f>AN196-AK196-AQ198</f>
        <v>0</v>
      </c>
      <c r="AR201" s="200" t="str">
        <f t="shared" si="207"/>
        <v/>
      </c>
      <c r="AS201" s="201"/>
      <c r="AT201" s="201"/>
      <c r="AU201" s="201"/>
      <c r="AV201" s="199"/>
      <c r="AW201" s="199">
        <f>AV201*1.12</f>
        <v>0</v>
      </c>
      <c r="AX201" s="199"/>
      <c r="AY201" s="199">
        <f>AQ201*$AI$198/$AK$198</f>
        <v>0</v>
      </c>
      <c r="AZ201" s="199">
        <f>AL201-AI198/AK198*AN201</f>
        <v>-25490.666666666664</v>
      </c>
      <c r="BA201" s="199"/>
      <c r="BB201" s="199"/>
      <c r="BC201" s="199"/>
      <c r="BD201" s="199"/>
      <c r="BE201" s="199"/>
      <c r="BF201" s="237"/>
      <c r="BG201" s="199"/>
      <c r="BH201" s="199"/>
      <c r="BI201" s="199"/>
      <c r="BJ201" s="199"/>
      <c r="BK201" s="199"/>
      <c r="BL201" s="199"/>
      <c r="BM201" s="202"/>
      <c r="BN201" s="202"/>
      <c r="BO201" s="202"/>
      <c r="BP201" s="202"/>
      <c r="BQ201" s="202"/>
      <c r="BR201" s="202"/>
      <c r="BS201" s="202"/>
      <c r="BT201" s="202"/>
      <c r="BW201" s="202"/>
      <c r="BX201" s="205"/>
    </row>
    <row r="202" spans="1:76" s="97" customFormat="1" x14ac:dyDescent="0.25">
      <c r="A202" s="416"/>
      <c r="B202" s="375"/>
      <c r="C202" s="117" t="s">
        <v>71</v>
      </c>
      <c r="D202" s="117" t="s">
        <v>72</v>
      </c>
      <c r="E202" s="163"/>
      <c r="F202" s="163"/>
      <c r="G202" s="403"/>
      <c r="H202" s="405"/>
      <c r="I202" s="161"/>
      <c r="J202" s="161"/>
      <c r="K202" s="370"/>
      <c r="L202" s="369"/>
      <c r="M202" s="406"/>
      <c r="N202" s="120">
        <f t="shared" si="256"/>
        <v>29833722.330357142</v>
      </c>
      <c r="O202" s="120">
        <f t="shared" si="256"/>
        <v>33413769.010000002</v>
      </c>
      <c r="P202" s="120">
        <f t="shared" ref="P202:P203" si="262">Q202/1.12</f>
        <v>29833722.330357142</v>
      </c>
      <c r="Q202" s="120">
        <f>Q201</f>
        <v>33413769.010000002</v>
      </c>
      <c r="R202" s="369"/>
      <c r="S202" s="365"/>
      <c r="T202" s="206"/>
      <c r="U202" s="206"/>
      <c r="V202" s="206"/>
      <c r="W202" s="206"/>
      <c r="X202" s="206"/>
      <c r="Y202" s="206"/>
      <c r="Z202" s="119"/>
      <c r="AA202" s="119"/>
      <c r="AB202" s="119"/>
      <c r="AC202" s="119"/>
      <c r="AD202" s="118">
        <f t="shared" si="257"/>
        <v>0</v>
      </c>
      <c r="AE202" s="119"/>
      <c r="AF202" s="119">
        <f t="shared" si="258"/>
        <v>0</v>
      </c>
      <c r="AG202" s="119">
        <f t="shared" si="258"/>
        <v>0</v>
      </c>
      <c r="AH202" s="119"/>
      <c r="AI202" s="119"/>
      <c r="AJ202" s="119">
        <f>AI202*1.12</f>
        <v>0</v>
      </c>
      <c r="AK202" s="119"/>
      <c r="AL202" s="119"/>
      <c r="AM202" s="118">
        <f t="shared" si="259"/>
        <v>0</v>
      </c>
      <c r="AN202" s="119"/>
      <c r="AO202" s="118">
        <f>AQ201*$AI$199/$AK$198+AL202-AI199/AK198*AN201</f>
        <v>-37940.666666666664</v>
      </c>
      <c r="AP202" s="118">
        <f>AO202*1.12</f>
        <v>-42493.546666666669</v>
      </c>
      <c r="AQ202" s="118"/>
      <c r="AR202" s="121" t="str">
        <f t="shared" si="207"/>
        <v/>
      </c>
      <c r="AS202" s="122"/>
      <c r="AT202" s="122">
        <f>AL202</f>
        <v>0</v>
      </c>
      <c r="AU202" s="122"/>
      <c r="AV202" s="118">
        <f>AL202</f>
        <v>0</v>
      </c>
      <c r="AW202" s="118">
        <f t="shared" ref="AW202:AW203" si="263">AV202*1.12</f>
        <v>0</v>
      </c>
      <c r="AX202" s="118"/>
      <c r="AY202" s="118"/>
      <c r="AZ202" s="118"/>
      <c r="BA202" s="118"/>
      <c r="BB202" s="118"/>
      <c r="BC202" s="118"/>
      <c r="BD202" s="118"/>
      <c r="BE202" s="118"/>
      <c r="BF202" s="118"/>
      <c r="BG202" s="118"/>
      <c r="BH202" s="118"/>
      <c r="BI202" s="118"/>
      <c r="BJ202" s="118"/>
      <c r="BK202" s="118"/>
      <c r="BL202" s="118"/>
      <c r="BM202" s="100"/>
      <c r="BN202" s="100"/>
      <c r="BO202" s="100"/>
      <c r="BP202" s="100"/>
      <c r="BQ202" s="100"/>
      <c r="BR202" s="100"/>
      <c r="BS202" s="100"/>
      <c r="BT202" s="100"/>
      <c r="BU202" s="97">
        <v>11562480</v>
      </c>
      <c r="BW202" s="100"/>
      <c r="BX202" s="101"/>
    </row>
    <row r="203" spans="1:76" x14ac:dyDescent="0.25">
      <c r="A203" s="356"/>
      <c r="B203" s="354"/>
      <c r="C203" s="124" t="s">
        <v>71</v>
      </c>
      <c r="D203" s="124" t="s">
        <v>73</v>
      </c>
      <c r="E203" s="167"/>
      <c r="F203" s="167"/>
      <c r="G203" s="414"/>
      <c r="H203" s="415"/>
      <c r="I203" s="166"/>
      <c r="J203" s="166"/>
      <c r="K203" s="370"/>
      <c r="L203" s="369"/>
      <c r="M203" s="406"/>
      <c r="N203" s="127">
        <f t="shared" si="256"/>
        <v>29833722.330357142</v>
      </c>
      <c r="O203" s="127">
        <f t="shared" si="256"/>
        <v>33413769.010000002</v>
      </c>
      <c r="P203" s="127">
        <f t="shared" si="262"/>
        <v>29833722.330357142</v>
      </c>
      <c r="Q203" s="127">
        <f>Q202</f>
        <v>33413769.010000002</v>
      </c>
      <c r="R203" s="369"/>
      <c r="S203" s="365"/>
      <c r="T203" s="37"/>
      <c r="U203" s="37"/>
      <c r="V203" s="37"/>
      <c r="W203" s="37"/>
      <c r="X203" s="37"/>
      <c r="Y203" s="37"/>
      <c r="Z203" s="126"/>
      <c r="AA203" s="126"/>
      <c r="AB203" s="126"/>
      <c r="AC203" s="126">
        <f>AC202</f>
        <v>0</v>
      </c>
      <c r="AD203" s="125">
        <f t="shared" si="257"/>
        <v>0</v>
      </c>
      <c r="AE203" s="126"/>
      <c r="AF203" s="126">
        <f t="shared" si="258"/>
        <v>0</v>
      </c>
      <c r="AG203" s="126">
        <f t="shared" si="258"/>
        <v>0</v>
      </c>
      <c r="AH203" s="126"/>
      <c r="AI203" s="126">
        <f>AI202</f>
        <v>0</v>
      </c>
      <c r="AJ203" s="126">
        <f>AJ202</f>
        <v>0</v>
      </c>
      <c r="AK203" s="126"/>
      <c r="AL203" s="126">
        <f>AL202</f>
        <v>0</v>
      </c>
      <c r="AM203" s="125">
        <f t="shared" si="259"/>
        <v>0</v>
      </c>
      <c r="AN203" s="126"/>
      <c r="AO203" s="125">
        <f>AO202</f>
        <v>-37940.666666666664</v>
      </c>
      <c r="AP203" s="125">
        <f>AP202</f>
        <v>-42493.546666666669</v>
      </c>
      <c r="AQ203" s="125"/>
      <c r="AR203" s="128" t="str">
        <f t="shared" si="207"/>
        <v/>
      </c>
      <c r="AS203" s="129"/>
      <c r="AT203" s="129">
        <f>AL203</f>
        <v>0</v>
      </c>
      <c r="AU203" s="129"/>
      <c r="AV203" s="125">
        <f>AL203</f>
        <v>0</v>
      </c>
      <c r="AW203" s="125">
        <f t="shared" si="263"/>
        <v>0</v>
      </c>
      <c r="AX203" s="125"/>
      <c r="AY203" s="125"/>
      <c r="AZ203" s="125"/>
      <c r="BA203" s="125"/>
      <c r="BB203" s="125"/>
      <c r="BC203" s="125"/>
      <c r="BD203" s="125"/>
      <c r="BE203" s="125"/>
      <c r="BF203" s="125"/>
      <c r="BG203" s="125"/>
      <c r="BH203" s="125"/>
      <c r="BI203" s="125"/>
      <c r="BJ203" s="125"/>
      <c r="BK203" s="125"/>
      <c r="BL203" s="125"/>
      <c r="BM203" s="25"/>
      <c r="BN203" s="25"/>
      <c r="BO203" s="25"/>
      <c r="BP203" s="25"/>
      <c r="BQ203" s="25"/>
      <c r="BR203" s="25"/>
      <c r="BS203" s="25"/>
      <c r="BT203" s="25"/>
      <c r="BW203" s="25"/>
      <c r="BX203" s="26"/>
    </row>
    <row r="204" spans="1:76" s="189" customFormat="1" x14ac:dyDescent="0.25">
      <c r="A204" s="355">
        <v>2</v>
      </c>
      <c r="B204" s="428" t="s">
        <v>135</v>
      </c>
      <c r="C204" s="180" t="s">
        <v>69</v>
      </c>
      <c r="D204" s="181"/>
      <c r="E204" s="182">
        <f>E206+E209+E212+E215+E218+E221+E224+E227+E230</f>
        <v>469066</v>
      </c>
      <c r="F204" s="182">
        <f>F206+F209+F212+F215+F218+F221+F224+F227+F230</f>
        <v>525353.92000000004</v>
      </c>
      <c r="G204" s="191"/>
      <c r="H204" s="182">
        <f>H206+H209+H212+H215+H218+H221+H224+H227+H230</f>
        <v>196</v>
      </c>
      <c r="I204" s="182">
        <f>I206+I209+I212+I215+I218+I221+I224+I227+I230</f>
        <v>469066</v>
      </c>
      <c r="J204" s="182">
        <f>J206+J209+J212+J215+J218+J221+J224+J227+J230</f>
        <v>525353.92000000004</v>
      </c>
      <c r="K204" s="431" t="s">
        <v>127</v>
      </c>
      <c r="L204" s="432"/>
      <c r="M204" s="435"/>
      <c r="N204" s="238">
        <f t="shared" ref="N204:Q205" si="264">N206+N209+N212+N215+N218+N221+N224+N227+N230</f>
        <v>383395241.5535714</v>
      </c>
      <c r="O204" s="238">
        <f t="shared" si="264"/>
        <v>429402670.53999996</v>
      </c>
      <c r="P204" s="238">
        <f t="shared" si="264"/>
        <v>383395241.5535714</v>
      </c>
      <c r="Q204" s="238">
        <f t="shared" si="264"/>
        <v>429402670.53999996</v>
      </c>
      <c r="R204" s="210"/>
      <c r="S204" s="413">
        <f>S206+S209+S212+S215+S218+S221+S224+S227</f>
        <v>196</v>
      </c>
      <c r="T204" s="182">
        <f>T206+T209+T212+T215+T218+T221+T224+T227+T230</f>
        <v>0</v>
      </c>
      <c r="U204" s="182">
        <f>U206+U209+U212+U215+U218+U221+U224+U227+U230</f>
        <v>0</v>
      </c>
      <c r="V204" s="182">
        <f>V206+V209+V212+V215+V218+V221+V224+V227+V230</f>
        <v>0</v>
      </c>
      <c r="W204" s="182">
        <f t="shared" ref="W204:AQ205" si="265">W206+W209+W212+W215+W218+W221+W224+W227+W230</f>
        <v>0</v>
      </c>
      <c r="X204" s="182">
        <f t="shared" si="265"/>
        <v>0</v>
      </c>
      <c r="Y204" s="182">
        <f t="shared" si="265"/>
        <v>0</v>
      </c>
      <c r="Z204" s="182">
        <f t="shared" si="265"/>
        <v>0</v>
      </c>
      <c r="AA204" s="182">
        <f t="shared" si="265"/>
        <v>0</v>
      </c>
      <c r="AB204" s="182">
        <f t="shared" si="265"/>
        <v>0</v>
      </c>
      <c r="AC204" s="182">
        <f t="shared" si="265"/>
        <v>0</v>
      </c>
      <c r="AD204" s="182">
        <f t="shared" si="265"/>
        <v>0</v>
      </c>
      <c r="AE204" s="182">
        <f t="shared" si="265"/>
        <v>0</v>
      </c>
      <c r="AF204" s="182">
        <f t="shared" si="265"/>
        <v>0</v>
      </c>
      <c r="AG204" s="182">
        <f t="shared" si="265"/>
        <v>0</v>
      </c>
      <c r="AH204" s="182">
        <f t="shared" si="265"/>
        <v>0</v>
      </c>
      <c r="AI204" s="182">
        <f t="shared" si="265"/>
        <v>469066</v>
      </c>
      <c r="AJ204" s="182">
        <f t="shared" si="265"/>
        <v>525353.92000000004</v>
      </c>
      <c r="AK204" s="182">
        <f t="shared" si="265"/>
        <v>196</v>
      </c>
      <c r="AL204" s="182">
        <f t="shared" si="265"/>
        <v>333232</v>
      </c>
      <c r="AM204" s="182">
        <f t="shared" si="265"/>
        <v>373219.84000000008</v>
      </c>
      <c r="AN204" s="182">
        <f t="shared" si="265"/>
        <v>196</v>
      </c>
      <c r="AO204" s="182">
        <f>AO206+AO209+AO212+AO215+AO218+AO221+AO224+AO227+AO230</f>
        <v>-135834</v>
      </c>
      <c r="AP204" s="182">
        <f t="shared" si="265"/>
        <v>-152134.08000000002</v>
      </c>
      <c r="AQ204" s="182">
        <f t="shared" si="265"/>
        <v>0</v>
      </c>
      <c r="AR204" s="185">
        <f>IF(AI204=0,"",AL204/AI204)</f>
        <v>0.71041601821492073</v>
      </c>
      <c r="AS204" s="182">
        <f t="shared" ref="AS204:BL205" si="266">AS206+AS209+AS212+AS215+AS218+AS221+AS224+AS227+AS230</f>
        <v>0</v>
      </c>
      <c r="AT204" s="182">
        <f t="shared" si="266"/>
        <v>0</v>
      </c>
      <c r="AU204" s="182">
        <f t="shared" si="266"/>
        <v>0</v>
      </c>
      <c r="AV204" s="182">
        <f t="shared" si="266"/>
        <v>469066</v>
      </c>
      <c r="AW204" s="182">
        <f t="shared" si="266"/>
        <v>525353.92000000004</v>
      </c>
      <c r="AX204" s="182">
        <f t="shared" si="266"/>
        <v>196</v>
      </c>
      <c r="AY204" s="182">
        <f t="shared" si="266"/>
        <v>0</v>
      </c>
      <c r="AZ204" s="182">
        <f t="shared" si="266"/>
        <v>-135834</v>
      </c>
      <c r="BA204" s="182">
        <f t="shared" si="266"/>
        <v>0</v>
      </c>
      <c r="BB204" s="182">
        <f t="shared" si="266"/>
        <v>0</v>
      </c>
      <c r="BC204" s="182">
        <f t="shared" si="266"/>
        <v>0</v>
      </c>
      <c r="BD204" s="182">
        <f t="shared" si="266"/>
        <v>0</v>
      </c>
      <c r="BE204" s="182">
        <f t="shared" si="266"/>
        <v>0</v>
      </c>
      <c r="BF204" s="182">
        <f t="shared" si="266"/>
        <v>0</v>
      </c>
      <c r="BG204" s="182">
        <f t="shared" si="266"/>
        <v>0</v>
      </c>
      <c r="BH204" s="182">
        <f t="shared" si="266"/>
        <v>0</v>
      </c>
      <c r="BI204" s="182">
        <f t="shared" si="266"/>
        <v>0</v>
      </c>
      <c r="BJ204" s="182">
        <f t="shared" si="266"/>
        <v>0</v>
      </c>
      <c r="BK204" s="182">
        <f t="shared" si="266"/>
        <v>0</v>
      </c>
      <c r="BL204" s="182">
        <f t="shared" si="266"/>
        <v>0</v>
      </c>
      <c r="BM204" s="186" t="s">
        <v>103</v>
      </c>
      <c r="BN204" s="181"/>
      <c r="BO204" s="188">
        <f t="shared" ref="BO204:BQ205" si="267">BO206+BO209+BO212+BO215+BO218+BO221+BO224+BO227</f>
        <v>0</v>
      </c>
      <c r="BP204" s="188">
        <f t="shared" si="267"/>
        <v>0</v>
      </c>
      <c r="BQ204" s="188">
        <f t="shared" si="267"/>
        <v>0</v>
      </c>
      <c r="BR204" s="212"/>
      <c r="BS204" s="212"/>
      <c r="BT204" s="181"/>
      <c r="BW204" s="181"/>
      <c r="BX204" s="190"/>
    </row>
    <row r="205" spans="1:76" s="189" customFormat="1" x14ac:dyDescent="0.25">
      <c r="A205" s="416"/>
      <c r="B205" s="429"/>
      <c r="C205" s="180" t="s">
        <v>71</v>
      </c>
      <c r="D205" s="191"/>
      <c r="E205" s="182">
        <f>E207+E210+E213+E216+E219+E222+E225+E228+E231</f>
        <v>469066</v>
      </c>
      <c r="F205" s="182">
        <f>F207+F210+F213+F216+F219+F222+F225+F228+F231</f>
        <v>525353.92000000004</v>
      </c>
      <c r="G205" s="191"/>
      <c r="H205" s="182"/>
      <c r="I205" s="182">
        <f>I207+I210+I213+I216+I219+I222+I225+I228+I231</f>
        <v>413924</v>
      </c>
      <c r="J205" s="182">
        <f>J207+J210+J213+J216+J219+J222+J225+J228+J231</f>
        <v>463594.88000000006</v>
      </c>
      <c r="K205" s="433"/>
      <c r="L205" s="434"/>
      <c r="M205" s="436"/>
      <c r="N205" s="238">
        <f t="shared" si="264"/>
        <v>383395241.5535714</v>
      </c>
      <c r="O205" s="238">
        <f t="shared" si="264"/>
        <v>429402670.53999996</v>
      </c>
      <c r="P205" s="238">
        <f t="shared" si="264"/>
        <v>383395241.5535714</v>
      </c>
      <c r="Q205" s="238">
        <f t="shared" si="264"/>
        <v>429402670.53999996</v>
      </c>
      <c r="R205" s="210"/>
      <c r="S205" s="413"/>
      <c r="T205" s="182">
        <f>T207+T210+T213+T216+T219+T222+T225+T228+T231</f>
        <v>0</v>
      </c>
      <c r="U205" s="182">
        <f>U207+U210+U213+U216+U219+U222+U225+U228+U231</f>
        <v>0</v>
      </c>
      <c r="V205" s="182"/>
      <c r="W205" s="182">
        <f t="shared" si="265"/>
        <v>0</v>
      </c>
      <c r="X205" s="182">
        <f t="shared" si="265"/>
        <v>0</v>
      </c>
      <c r="Y205" s="182"/>
      <c r="Z205" s="182">
        <f t="shared" si="265"/>
        <v>0</v>
      </c>
      <c r="AA205" s="182">
        <f t="shared" si="265"/>
        <v>0</v>
      </c>
      <c r="AB205" s="182"/>
      <c r="AC205" s="182">
        <f t="shared" si="265"/>
        <v>0</v>
      </c>
      <c r="AD205" s="182">
        <f t="shared" si="265"/>
        <v>0</v>
      </c>
      <c r="AE205" s="182"/>
      <c r="AF205" s="182">
        <f t="shared" si="265"/>
        <v>0</v>
      </c>
      <c r="AG205" s="182">
        <f t="shared" si="265"/>
        <v>0</v>
      </c>
      <c r="AH205" s="182"/>
      <c r="AI205" s="182">
        <f t="shared" si="265"/>
        <v>413924</v>
      </c>
      <c r="AJ205" s="182">
        <f t="shared" si="265"/>
        <v>463594.88000000006</v>
      </c>
      <c r="AK205" s="182"/>
      <c r="AL205" s="182">
        <f t="shared" si="265"/>
        <v>254712.05160714284</v>
      </c>
      <c r="AM205" s="182">
        <f t="shared" si="265"/>
        <v>285277.49779999995</v>
      </c>
      <c r="AN205" s="182"/>
      <c r="AO205" s="182">
        <f t="shared" si="265"/>
        <v>-159211.94839285716</v>
      </c>
      <c r="AP205" s="182">
        <f t="shared" si="265"/>
        <v>-178317.38220000002</v>
      </c>
      <c r="AQ205" s="182"/>
      <c r="AR205" s="185">
        <f>IF(AI205=0,"",AL205/AI205)</f>
        <v>0.61535946600618197</v>
      </c>
      <c r="AS205" s="182">
        <f t="shared" si="266"/>
        <v>0</v>
      </c>
      <c r="AT205" s="182">
        <f t="shared" si="266"/>
        <v>254712.05160714284</v>
      </c>
      <c r="AU205" s="182">
        <f t="shared" si="266"/>
        <v>0</v>
      </c>
      <c r="AV205" s="182">
        <f t="shared" si="266"/>
        <v>508799.06748214288</v>
      </c>
      <c r="AW205" s="182">
        <f t="shared" si="266"/>
        <v>569854.95558000007</v>
      </c>
      <c r="AX205" s="182"/>
      <c r="AY205" s="182">
        <f t="shared" si="266"/>
        <v>0</v>
      </c>
      <c r="AZ205" s="182">
        <f t="shared" si="266"/>
        <v>0</v>
      </c>
      <c r="BA205" s="182">
        <f t="shared" si="266"/>
        <v>0</v>
      </c>
      <c r="BB205" s="182">
        <f t="shared" si="266"/>
        <v>0</v>
      </c>
      <c r="BC205" s="182">
        <f t="shared" si="266"/>
        <v>0</v>
      </c>
      <c r="BD205" s="182">
        <f t="shared" si="266"/>
        <v>0</v>
      </c>
      <c r="BE205" s="182">
        <f t="shared" si="266"/>
        <v>0</v>
      </c>
      <c r="BF205" s="182">
        <f t="shared" si="266"/>
        <v>0</v>
      </c>
      <c r="BG205" s="182">
        <f t="shared" si="266"/>
        <v>0</v>
      </c>
      <c r="BH205" s="182">
        <f t="shared" si="266"/>
        <v>0</v>
      </c>
      <c r="BI205" s="182">
        <f t="shared" si="266"/>
        <v>0</v>
      </c>
      <c r="BJ205" s="182">
        <f t="shared" si="266"/>
        <v>0</v>
      </c>
      <c r="BK205" s="182">
        <f t="shared" si="266"/>
        <v>0</v>
      </c>
      <c r="BL205" s="182">
        <f t="shared" si="266"/>
        <v>0</v>
      </c>
      <c r="BM205" s="213"/>
      <c r="BN205" s="181"/>
      <c r="BO205" s="188">
        <f t="shared" si="267"/>
        <v>0</v>
      </c>
      <c r="BP205" s="188">
        <f t="shared" si="267"/>
        <v>0</v>
      </c>
      <c r="BQ205" s="188">
        <f t="shared" si="267"/>
        <v>0</v>
      </c>
      <c r="BR205" s="212"/>
      <c r="BS205" s="212"/>
      <c r="BT205" s="181"/>
      <c r="BW205" s="181"/>
      <c r="BX205" s="190"/>
    </row>
    <row r="206" spans="1:76" s="204" customFormat="1" x14ac:dyDescent="0.25">
      <c r="A206" s="416"/>
      <c r="B206" s="429"/>
      <c r="C206" s="193" t="s">
        <v>69</v>
      </c>
      <c r="D206" s="193" t="s">
        <v>70</v>
      </c>
      <c r="E206" s="194">
        <f>I206</f>
        <v>469066</v>
      </c>
      <c r="F206" s="194">
        <f>E206*1.12</f>
        <v>525353.92000000004</v>
      </c>
      <c r="G206" s="402">
        <v>1919</v>
      </c>
      <c r="H206" s="404">
        <v>196</v>
      </c>
      <c r="I206" s="195">
        <v>469066</v>
      </c>
      <c r="J206" s="195">
        <f>I206*1.12</f>
        <v>525353.92000000004</v>
      </c>
      <c r="K206" s="370" t="s">
        <v>124</v>
      </c>
      <c r="L206" s="419" t="s">
        <v>131</v>
      </c>
      <c r="M206" s="372" t="s">
        <v>96</v>
      </c>
      <c r="N206" s="196">
        <f t="shared" ref="N206:O229" si="268">P206</f>
        <v>48902454.508928567</v>
      </c>
      <c r="O206" s="196">
        <f t="shared" si="268"/>
        <v>54770749.049999997</v>
      </c>
      <c r="P206" s="196">
        <f>Q206/1.12</f>
        <v>48902454.508928567</v>
      </c>
      <c r="Q206" s="196">
        <v>54770749.049999997</v>
      </c>
      <c r="R206" s="369" t="s">
        <v>136</v>
      </c>
      <c r="S206" s="365">
        <v>25</v>
      </c>
      <c r="T206" s="214"/>
      <c r="U206" s="214"/>
      <c r="V206" s="214"/>
      <c r="W206" s="214"/>
      <c r="X206" s="214"/>
      <c r="Y206" s="214"/>
      <c r="Z206" s="198"/>
      <c r="AA206" s="198"/>
      <c r="AB206" s="198"/>
      <c r="AC206" s="198"/>
      <c r="AD206" s="199">
        <f>AC206*1.12</f>
        <v>0</v>
      </c>
      <c r="AE206" s="198"/>
      <c r="AF206" s="198">
        <f t="shared" ref="AF206:AH229" si="269">Z206+AC206</f>
        <v>0</v>
      </c>
      <c r="AG206" s="198">
        <f t="shared" si="269"/>
        <v>0</v>
      </c>
      <c r="AH206" s="198">
        <f t="shared" si="269"/>
        <v>0</v>
      </c>
      <c r="AI206" s="198">
        <f>59797+59797+59797+59797+59797+59797+55142+55142</f>
        <v>469066</v>
      </c>
      <c r="AJ206" s="198">
        <f>AI206*1.12</f>
        <v>525353.92000000004</v>
      </c>
      <c r="AK206" s="198">
        <f>25+25+25+25+25+25+23+23</f>
        <v>196</v>
      </c>
      <c r="AL206" s="198">
        <f>36072+8996+2281+7016+1329</f>
        <v>55694</v>
      </c>
      <c r="AM206" s="199">
        <f>AL206*1.12</f>
        <v>62377.280000000006</v>
      </c>
      <c r="AN206" s="198">
        <f>18+4+3</f>
        <v>25</v>
      </c>
      <c r="AO206" s="199">
        <f>AL206-$AI$206/$AK$206*AN206+AQ206*$AI$206/$AK$206</f>
        <v>-4135.8469387755031</v>
      </c>
      <c r="AP206" s="199">
        <f>AO206*1.12</f>
        <v>-4632.1485714285636</v>
      </c>
      <c r="AQ206" s="199">
        <f>AN206-(3+4+3+4+4+4+3)</f>
        <v>0</v>
      </c>
      <c r="AR206" s="200"/>
      <c r="AS206" s="201"/>
      <c r="AT206" s="201"/>
      <c r="AU206" s="201"/>
      <c r="AV206" s="199">
        <f>ROUND(P206/1000,0)</f>
        <v>48902</v>
      </c>
      <c r="AW206" s="199">
        <f>AV206*1.12</f>
        <v>54770.240000000005</v>
      </c>
      <c r="AX206" s="199">
        <f>S206</f>
        <v>25</v>
      </c>
      <c r="AY206" s="199"/>
      <c r="AZ206" s="199">
        <f>AL206-$AI$206/$AK$206*AN206</f>
        <v>-4135.8469387755031</v>
      </c>
      <c r="BA206" s="199"/>
      <c r="BB206" s="199"/>
      <c r="BC206" s="199"/>
      <c r="BD206" s="199"/>
      <c r="BE206" s="199"/>
      <c r="BF206" s="199">
        <f>AQ206*$AI$206/$AK$206</f>
        <v>0</v>
      </c>
      <c r="BG206" s="199"/>
      <c r="BH206" s="199"/>
      <c r="BI206" s="199"/>
      <c r="BJ206" s="199"/>
      <c r="BK206" s="199"/>
      <c r="BL206" s="199"/>
      <c r="BM206" s="203"/>
      <c r="BN206" s="203"/>
      <c r="BO206" s="202"/>
      <c r="BP206" s="202"/>
      <c r="BQ206" s="202"/>
      <c r="BR206" s="203"/>
      <c r="BS206" s="203"/>
      <c r="BT206" s="202"/>
      <c r="BW206" s="202"/>
      <c r="BX206" s="205"/>
    </row>
    <row r="207" spans="1:76" s="97" customFormat="1" x14ac:dyDescent="0.25">
      <c r="A207" s="416"/>
      <c r="B207" s="429"/>
      <c r="C207" s="117" t="s">
        <v>71</v>
      </c>
      <c r="D207" s="117" t="s">
        <v>72</v>
      </c>
      <c r="E207" s="163">
        <f>E208</f>
        <v>469066</v>
      </c>
      <c r="F207" s="163">
        <f>F208</f>
        <v>525353.92000000004</v>
      </c>
      <c r="G207" s="403"/>
      <c r="H207" s="405"/>
      <c r="I207" s="161">
        <v>413924</v>
      </c>
      <c r="J207" s="161">
        <f>J208</f>
        <v>463594.88000000006</v>
      </c>
      <c r="K207" s="370"/>
      <c r="L207" s="419"/>
      <c r="M207" s="373"/>
      <c r="N207" s="120">
        <f t="shared" si="268"/>
        <v>48902454.508928567</v>
      </c>
      <c r="O207" s="120">
        <f t="shared" si="268"/>
        <v>54770749.049999997</v>
      </c>
      <c r="P207" s="120">
        <f t="shared" ref="P207:P208" si="270">Q207/1.12</f>
        <v>48902454.508928567</v>
      </c>
      <c r="Q207" s="120">
        <f>Q206</f>
        <v>54770749.049999997</v>
      </c>
      <c r="R207" s="369"/>
      <c r="S207" s="365"/>
      <c r="T207" s="206"/>
      <c r="U207" s="206"/>
      <c r="V207" s="206"/>
      <c r="W207" s="206"/>
      <c r="X207" s="206"/>
      <c r="Y207" s="206"/>
      <c r="Z207" s="119"/>
      <c r="AA207" s="119"/>
      <c r="AB207" s="119"/>
      <c r="AC207" s="119">
        <f>AC208</f>
        <v>0</v>
      </c>
      <c r="AD207" s="118">
        <f>AD208</f>
        <v>0</v>
      </c>
      <c r="AE207" s="119"/>
      <c r="AF207" s="119">
        <f t="shared" si="269"/>
        <v>0</v>
      </c>
      <c r="AG207" s="119">
        <f t="shared" si="269"/>
        <v>0</v>
      </c>
      <c r="AH207" s="119"/>
      <c r="AI207" s="119">
        <f>59797+59797+59797+59797+59797+59797+55142</f>
        <v>413924</v>
      </c>
      <c r="AJ207" s="119">
        <f>AI207*1.12</f>
        <v>463594.88000000006</v>
      </c>
      <c r="AK207" s="119"/>
      <c r="AL207" s="119">
        <f>AL208</f>
        <v>46988.976589285703</v>
      </c>
      <c r="AM207" s="118">
        <f>AM208</f>
        <v>52627.653779999993</v>
      </c>
      <c r="AN207" s="119"/>
      <c r="AO207" s="118">
        <f>AL207-$AI$207/$AK$206*AN206+AQ206*$AI$207/$AK$206</f>
        <v>-5807.4519821428621</v>
      </c>
      <c r="AP207" s="118">
        <f>AO207*1.12</f>
        <v>-6504.3462200000058</v>
      </c>
      <c r="AQ207" s="118"/>
      <c r="AR207" s="121"/>
      <c r="AS207" s="122"/>
      <c r="AT207" s="122">
        <f>AL207</f>
        <v>46988.976589285703</v>
      </c>
      <c r="AU207" s="122"/>
      <c r="AV207" s="118">
        <f>ROUND(P207/1000,0)</f>
        <v>48902</v>
      </c>
      <c r="AW207" s="118">
        <f t="shared" ref="AW207:AW208" si="271">AV207*1.12</f>
        <v>54770.240000000005</v>
      </c>
      <c r="AX207" s="118"/>
      <c r="AY207" s="118"/>
      <c r="AZ207" s="118"/>
      <c r="BA207" s="118"/>
      <c r="BB207" s="118"/>
      <c r="BC207" s="118"/>
      <c r="BD207" s="118"/>
      <c r="BE207" s="118"/>
      <c r="BF207" s="118"/>
      <c r="BG207" s="118"/>
      <c r="BH207" s="118"/>
      <c r="BI207" s="118"/>
      <c r="BJ207" s="118"/>
      <c r="BK207" s="118"/>
      <c r="BL207" s="118"/>
      <c r="BM207" s="207"/>
      <c r="BN207" s="207"/>
      <c r="BO207" s="100"/>
      <c r="BP207" s="100"/>
      <c r="BQ207" s="100"/>
      <c r="BR207" s="207"/>
      <c r="BS207" s="207"/>
      <c r="BT207" s="100"/>
      <c r="BW207" s="100"/>
      <c r="BX207" s="101"/>
    </row>
    <row r="208" spans="1:76" x14ac:dyDescent="0.25">
      <c r="A208" s="416"/>
      <c r="B208" s="429"/>
      <c r="C208" s="124" t="s">
        <v>71</v>
      </c>
      <c r="D208" s="124" t="s">
        <v>73</v>
      </c>
      <c r="E208" s="167">
        <f>E206</f>
        <v>469066</v>
      </c>
      <c r="F208" s="167">
        <f t="shared" ref="F208" si="272">E208*1.12</f>
        <v>525353.92000000004</v>
      </c>
      <c r="G208" s="403"/>
      <c r="H208" s="405"/>
      <c r="I208" s="166">
        <f>I207</f>
        <v>413924</v>
      </c>
      <c r="J208" s="166">
        <f>I208*1.12</f>
        <v>463594.88000000006</v>
      </c>
      <c r="K208" s="370"/>
      <c r="L208" s="419"/>
      <c r="M208" s="374"/>
      <c r="N208" s="127">
        <f t="shared" si="268"/>
        <v>48902454.508928567</v>
      </c>
      <c r="O208" s="127">
        <f t="shared" si="268"/>
        <v>54770749.049999997</v>
      </c>
      <c r="P208" s="127">
        <f t="shared" si="270"/>
        <v>48902454.508928567</v>
      </c>
      <c r="Q208" s="127">
        <f>Q207</f>
        <v>54770749.049999997</v>
      </c>
      <c r="R208" s="369"/>
      <c r="S208" s="365"/>
      <c r="T208" s="37"/>
      <c r="U208" s="37"/>
      <c r="V208" s="37"/>
      <c r="W208" s="37"/>
      <c r="X208" s="37"/>
      <c r="Y208" s="37"/>
      <c r="Z208" s="126"/>
      <c r="AA208" s="126"/>
      <c r="AB208" s="126"/>
      <c r="AC208" s="126"/>
      <c r="AD208" s="167">
        <f>AC208*1.12</f>
        <v>0</v>
      </c>
      <c r="AE208" s="126"/>
      <c r="AF208" s="126">
        <f t="shared" si="269"/>
        <v>0</v>
      </c>
      <c r="AG208" s="126">
        <f t="shared" si="269"/>
        <v>0</v>
      </c>
      <c r="AH208" s="126"/>
      <c r="AI208" s="126">
        <f>AI207</f>
        <v>413924</v>
      </c>
      <c r="AJ208" s="126">
        <f>AJ207</f>
        <v>463594.88000000006</v>
      </c>
      <c r="AK208" s="126"/>
      <c r="AL208" s="126">
        <f>34497.77486/1.12+12191.89664/1.12+5937.98228/1.12</f>
        <v>46988.976589285703</v>
      </c>
      <c r="AM208" s="167">
        <f>AL208*1.12</f>
        <v>52627.653779999993</v>
      </c>
      <c r="AN208" s="126"/>
      <c r="AO208" s="125">
        <f>AO207</f>
        <v>-5807.4519821428621</v>
      </c>
      <c r="AP208" s="125">
        <f>AP207</f>
        <v>-6504.3462200000058</v>
      </c>
      <c r="AQ208" s="125"/>
      <c r="AR208" s="128"/>
      <c r="AS208" s="129"/>
      <c r="AT208" s="129">
        <f>AL208</f>
        <v>46988.976589285703</v>
      </c>
      <c r="AU208" s="129"/>
      <c r="AV208" s="125">
        <f>AV207</f>
        <v>48902</v>
      </c>
      <c r="AW208" s="125">
        <f t="shared" si="271"/>
        <v>54770.240000000005</v>
      </c>
      <c r="AX208" s="125"/>
      <c r="AY208" s="125"/>
      <c r="AZ208" s="125"/>
      <c r="BA208" s="125"/>
      <c r="BB208" s="125"/>
      <c r="BC208" s="125"/>
      <c r="BD208" s="125"/>
      <c r="BE208" s="125"/>
      <c r="BF208" s="125"/>
      <c r="BG208" s="125"/>
      <c r="BH208" s="125"/>
      <c r="BI208" s="125"/>
      <c r="BJ208" s="125"/>
      <c r="BK208" s="125"/>
      <c r="BL208" s="125"/>
      <c r="BM208" s="208"/>
      <c r="BN208" s="208"/>
      <c r="BO208" s="25"/>
      <c r="BP208" s="25"/>
      <c r="BQ208" s="25"/>
      <c r="BR208" s="208"/>
      <c r="BS208" s="208"/>
      <c r="BT208" s="25"/>
      <c r="BW208" s="25"/>
      <c r="BX208" s="26"/>
    </row>
    <row r="209" spans="1:76" s="204" customFormat="1" x14ac:dyDescent="0.25">
      <c r="A209" s="416"/>
      <c r="B209" s="429"/>
      <c r="C209" s="193" t="s">
        <v>69</v>
      </c>
      <c r="D209" s="193" t="s">
        <v>70</v>
      </c>
      <c r="E209" s="194"/>
      <c r="F209" s="194"/>
      <c r="G209" s="403"/>
      <c r="H209" s="405"/>
      <c r="I209" s="195"/>
      <c r="J209" s="195"/>
      <c r="K209" s="382" t="s">
        <v>111</v>
      </c>
      <c r="L209" s="379" t="s">
        <v>137</v>
      </c>
      <c r="M209" s="372" t="s">
        <v>96</v>
      </c>
      <c r="N209" s="196">
        <f t="shared" si="268"/>
        <v>176048834.99999997</v>
      </c>
      <c r="O209" s="196">
        <f t="shared" si="268"/>
        <v>197174695.19999999</v>
      </c>
      <c r="P209" s="196">
        <f>Q209/1.12</f>
        <v>176048834.99999997</v>
      </c>
      <c r="Q209" s="196">
        <f>109541498.08+43816598.56+43816598.56</f>
        <v>197174695.19999999</v>
      </c>
      <c r="R209" s="369" t="s">
        <v>136</v>
      </c>
      <c r="S209" s="365">
        <f>50+20+20</f>
        <v>90</v>
      </c>
      <c r="T209" s="214"/>
      <c r="U209" s="214"/>
      <c r="V209" s="214"/>
      <c r="W209" s="214"/>
      <c r="X209" s="214"/>
      <c r="Y209" s="214"/>
      <c r="Z209" s="198"/>
      <c r="AA209" s="198"/>
      <c r="AB209" s="198"/>
      <c r="AC209" s="198"/>
      <c r="AD209" s="199">
        <f>AC209*1.12</f>
        <v>0</v>
      </c>
      <c r="AE209" s="198"/>
      <c r="AF209" s="198">
        <f t="shared" si="269"/>
        <v>0</v>
      </c>
      <c r="AG209" s="198">
        <f t="shared" si="269"/>
        <v>0</v>
      </c>
      <c r="AH209" s="198">
        <f t="shared" si="269"/>
        <v>0</v>
      </c>
      <c r="AI209" s="198"/>
      <c r="AJ209" s="198"/>
      <c r="AK209" s="198"/>
      <c r="AL209" s="198">
        <f>34650+18089+41153+18585+15948-1886+2+9042+2067</f>
        <v>137650</v>
      </c>
      <c r="AM209" s="199">
        <f>AL209*1.12</f>
        <v>154168.00000000003</v>
      </c>
      <c r="AN209" s="198">
        <f>21+11+18+22+12+6</f>
        <v>90</v>
      </c>
      <c r="AO209" s="199">
        <f>AL209-$AI$206/$AK$206*AN209+AQ209*$AI$206/$AK$206</f>
        <v>-77737.448979591834</v>
      </c>
      <c r="AP209" s="199">
        <f>AO209*1.12</f>
        <v>-87065.942857142858</v>
      </c>
      <c r="AQ209" s="199">
        <f>AN209-(18+9+9+9+14+13+18)</f>
        <v>0</v>
      </c>
      <c r="AR209" s="200" t="str">
        <f t="shared" ref="AR209:AR242" si="273">IF(AI209=0,"",AL209/AI209)</f>
        <v/>
      </c>
      <c r="AS209" s="201"/>
      <c r="AT209" s="201"/>
      <c r="AU209" s="201"/>
      <c r="AV209" s="199">
        <f>ROUND(P209/1000,0)</f>
        <v>176049</v>
      </c>
      <c r="AW209" s="199">
        <f>AV209*1.12</f>
        <v>197174.88</v>
      </c>
      <c r="AX209" s="199">
        <f>S209</f>
        <v>90</v>
      </c>
      <c r="AY209" s="199"/>
      <c r="AZ209" s="199">
        <f>AL209-$AI$206/$AK$206*AN209</f>
        <v>-77737.448979591834</v>
      </c>
      <c r="BA209" s="199"/>
      <c r="BB209" s="199"/>
      <c r="BC209" s="199"/>
      <c r="BD209" s="199"/>
      <c r="BE209" s="199"/>
      <c r="BF209" s="199">
        <f>AQ209*$AI$206/$AK$206</f>
        <v>0</v>
      </c>
      <c r="BG209" s="199"/>
      <c r="BH209" s="199"/>
      <c r="BI209" s="199"/>
      <c r="BJ209" s="199"/>
      <c r="BK209" s="199"/>
      <c r="BL209" s="199"/>
      <c r="BM209" s="203"/>
      <c r="BN209" s="203"/>
      <c r="BO209" s="202"/>
      <c r="BP209" s="202"/>
      <c r="BQ209" s="202"/>
      <c r="BR209" s="203"/>
      <c r="BS209" s="203"/>
      <c r="BT209" s="202"/>
      <c r="BW209" s="202"/>
      <c r="BX209" s="205"/>
    </row>
    <row r="210" spans="1:76" s="97" customFormat="1" x14ac:dyDescent="0.25">
      <c r="A210" s="416"/>
      <c r="B210" s="429"/>
      <c r="C210" s="117" t="s">
        <v>71</v>
      </c>
      <c r="D210" s="117" t="s">
        <v>72</v>
      </c>
      <c r="E210" s="163"/>
      <c r="F210" s="163"/>
      <c r="G210" s="403"/>
      <c r="H210" s="405"/>
      <c r="I210" s="161"/>
      <c r="J210" s="161"/>
      <c r="K210" s="383"/>
      <c r="L210" s="380"/>
      <c r="M210" s="373"/>
      <c r="N210" s="120">
        <f t="shared" si="268"/>
        <v>176048834.99999997</v>
      </c>
      <c r="O210" s="120">
        <f t="shared" si="268"/>
        <v>197174695.19999999</v>
      </c>
      <c r="P210" s="120">
        <f>Q210/1.12</f>
        <v>176048834.99999997</v>
      </c>
      <c r="Q210" s="120">
        <f>Q209</f>
        <v>197174695.19999999</v>
      </c>
      <c r="R210" s="369"/>
      <c r="S210" s="365"/>
      <c r="T210" s="206"/>
      <c r="U210" s="206"/>
      <c r="V210" s="206"/>
      <c r="W210" s="206"/>
      <c r="X210" s="206"/>
      <c r="Y210" s="206"/>
      <c r="Z210" s="119"/>
      <c r="AA210" s="119"/>
      <c r="AB210" s="119"/>
      <c r="AC210" s="119">
        <f>AC211</f>
        <v>0</v>
      </c>
      <c r="AD210" s="118">
        <f>AD211</f>
        <v>0</v>
      </c>
      <c r="AE210" s="119"/>
      <c r="AF210" s="119">
        <f t="shared" si="269"/>
        <v>0</v>
      </c>
      <c r="AG210" s="119">
        <f t="shared" si="269"/>
        <v>0</v>
      </c>
      <c r="AH210" s="119"/>
      <c r="AI210" s="119"/>
      <c r="AJ210" s="119">
        <f>AI210*1.12</f>
        <v>0</v>
      </c>
      <c r="AK210" s="119"/>
      <c r="AL210" s="119">
        <f>29157.35653/1.12+9629.5325/1.12+35297.06985/1.12+32727.74494/1.12+15930.32969/1.12+10464.83498/1.12</f>
        <v>118934.70400892856</v>
      </c>
      <c r="AM210" s="118">
        <f>AL210*1.12</f>
        <v>133206.86848999999</v>
      </c>
      <c r="AN210" s="119"/>
      <c r="AO210" s="118">
        <f>AL210-$AI$207/$AK$206*AN209+AQ209*$AI$207/$AK$206</f>
        <v>-71132.438848214282</v>
      </c>
      <c r="AP210" s="118">
        <f>AO210*1.12</f>
        <v>-79668.331510000004</v>
      </c>
      <c r="AQ210" s="118"/>
      <c r="AR210" s="121" t="str">
        <f t="shared" si="273"/>
        <v/>
      </c>
      <c r="AS210" s="122"/>
      <c r="AT210" s="122">
        <f>AL210</f>
        <v>118934.70400892856</v>
      </c>
      <c r="AU210" s="122"/>
      <c r="AV210" s="118">
        <f>ROUND(P210/1000,0)</f>
        <v>176049</v>
      </c>
      <c r="AW210" s="118">
        <f t="shared" ref="AW210:AW211" si="274">AV210*1.12</f>
        <v>197174.88</v>
      </c>
      <c r="AX210" s="118"/>
      <c r="AY210" s="118"/>
      <c r="AZ210" s="118"/>
      <c r="BA210" s="118"/>
      <c r="BB210" s="118"/>
      <c r="BC210" s="118"/>
      <c r="BD210" s="118"/>
      <c r="BE210" s="118"/>
      <c r="BF210" s="118"/>
      <c r="BG210" s="118"/>
      <c r="BH210" s="118"/>
      <c r="BI210" s="118"/>
      <c r="BJ210" s="118"/>
      <c r="BK210" s="118"/>
      <c r="BL210" s="118"/>
      <c r="BM210" s="207"/>
      <c r="BN210" s="207"/>
      <c r="BO210" s="100"/>
      <c r="BP210" s="100"/>
      <c r="BQ210" s="100"/>
      <c r="BR210" s="207"/>
      <c r="BS210" s="207"/>
      <c r="BT210" s="100"/>
      <c r="BW210" s="100"/>
      <c r="BX210" s="101"/>
    </row>
    <row r="211" spans="1:76" x14ac:dyDescent="0.25">
      <c r="A211" s="416"/>
      <c r="B211" s="429"/>
      <c r="C211" s="124" t="s">
        <v>71</v>
      </c>
      <c r="D211" s="124" t="s">
        <v>73</v>
      </c>
      <c r="E211" s="167"/>
      <c r="F211" s="167"/>
      <c r="G211" s="403"/>
      <c r="H211" s="405"/>
      <c r="I211" s="166"/>
      <c r="J211" s="166"/>
      <c r="K211" s="384"/>
      <c r="L211" s="381"/>
      <c r="M211" s="374"/>
      <c r="N211" s="127">
        <f t="shared" si="268"/>
        <v>176048834.99999997</v>
      </c>
      <c r="O211" s="127">
        <f t="shared" si="268"/>
        <v>197174695.19999999</v>
      </c>
      <c r="P211" s="127">
        <f>Q211/1.12</f>
        <v>176048834.99999997</v>
      </c>
      <c r="Q211" s="127">
        <f>Q210</f>
        <v>197174695.19999999</v>
      </c>
      <c r="R211" s="369"/>
      <c r="S211" s="365"/>
      <c r="T211" s="37"/>
      <c r="U211" s="37"/>
      <c r="V211" s="37"/>
      <c r="W211" s="37"/>
      <c r="X211" s="37"/>
      <c r="Y211" s="37"/>
      <c r="Z211" s="126"/>
      <c r="AA211" s="126"/>
      <c r="AB211" s="126"/>
      <c r="AC211" s="126"/>
      <c r="AD211" s="167">
        <f>AC211*1.12</f>
        <v>0</v>
      </c>
      <c r="AE211" s="126"/>
      <c r="AF211" s="126">
        <f t="shared" si="269"/>
        <v>0</v>
      </c>
      <c r="AG211" s="126">
        <f t="shared" si="269"/>
        <v>0</v>
      </c>
      <c r="AH211" s="126"/>
      <c r="AI211" s="126">
        <f>AI210</f>
        <v>0</v>
      </c>
      <c r="AJ211" s="126">
        <f>AJ210</f>
        <v>0</v>
      </c>
      <c r="AK211" s="126"/>
      <c r="AL211" s="126">
        <f>AL210</f>
        <v>118934.70400892856</v>
      </c>
      <c r="AM211" s="125">
        <f>AM210</f>
        <v>133206.86848999999</v>
      </c>
      <c r="AN211" s="126"/>
      <c r="AO211" s="125">
        <f>AO210</f>
        <v>-71132.438848214282</v>
      </c>
      <c r="AP211" s="125">
        <f>AP210</f>
        <v>-79668.331510000004</v>
      </c>
      <c r="AQ211" s="125"/>
      <c r="AR211" s="128" t="str">
        <f t="shared" si="273"/>
        <v/>
      </c>
      <c r="AS211" s="129"/>
      <c r="AT211" s="129">
        <f>AL211</f>
        <v>118934.70400892856</v>
      </c>
      <c r="AU211" s="129"/>
      <c r="AV211" s="125">
        <f>AV210</f>
        <v>176049</v>
      </c>
      <c r="AW211" s="125">
        <f t="shared" si="274"/>
        <v>197174.88</v>
      </c>
      <c r="AX211" s="125"/>
      <c r="AY211" s="125"/>
      <c r="AZ211" s="125"/>
      <c r="BA211" s="125"/>
      <c r="BB211" s="125"/>
      <c r="BC211" s="125"/>
      <c r="BD211" s="125"/>
      <c r="BE211" s="125"/>
      <c r="BF211" s="125"/>
      <c r="BG211" s="125"/>
      <c r="BH211" s="125"/>
      <c r="BI211" s="125"/>
      <c r="BJ211" s="125"/>
      <c r="BK211" s="125"/>
      <c r="BL211" s="125"/>
      <c r="BM211" s="208"/>
      <c r="BN211" s="208"/>
      <c r="BO211" s="25"/>
      <c r="BP211" s="25"/>
      <c r="BQ211" s="25"/>
      <c r="BR211" s="208"/>
      <c r="BS211" s="208"/>
      <c r="BT211" s="25"/>
      <c r="BW211" s="25"/>
      <c r="BX211" s="26"/>
    </row>
    <row r="212" spans="1:76" s="204" customFormat="1" x14ac:dyDescent="0.25">
      <c r="A212" s="416"/>
      <c r="B212" s="429"/>
      <c r="C212" s="193" t="s">
        <v>69</v>
      </c>
      <c r="D212" s="193" t="s">
        <v>70</v>
      </c>
      <c r="E212" s="194"/>
      <c r="F212" s="194"/>
      <c r="G212" s="403"/>
      <c r="H212" s="405"/>
      <c r="I212" s="195"/>
      <c r="J212" s="195"/>
      <c r="K212" s="370" t="s">
        <v>138</v>
      </c>
      <c r="L212" s="419" t="s">
        <v>139</v>
      </c>
      <c r="M212" s="406" t="s">
        <v>96</v>
      </c>
      <c r="N212" s="196">
        <f t="shared" si="268"/>
        <v>19560981.821428571</v>
      </c>
      <c r="O212" s="196">
        <f t="shared" si="268"/>
        <v>21908299.640000001</v>
      </c>
      <c r="P212" s="196">
        <f>Q212/1.12</f>
        <v>19560981.821428571</v>
      </c>
      <c r="Q212" s="196">
        <v>21908299.640000001</v>
      </c>
      <c r="R212" s="369" t="s">
        <v>136</v>
      </c>
      <c r="S212" s="365">
        <v>10</v>
      </c>
      <c r="T212" s="214"/>
      <c r="U212" s="214"/>
      <c r="V212" s="214"/>
      <c r="W212" s="214"/>
      <c r="X212" s="214"/>
      <c r="Y212" s="214"/>
      <c r="Z212" s="198"/>
      <c r="AA212" s="198"/>
      <c r="AB212" s="198"/>
      <c r="AC212" s="198"/>
      <c r="AD212" s="199">
        <f>AC212*1.12</f>
        <v>0</v>
      </c>
      <c r="AE212" s="198"/>
      <c r="AF212" s="198">
        <f t="shared" si="269"/>
        <v>0</v>
      </c>
      <c r="AG212" s="198">
        <f t="shared" si="269"/>
        <v>0</v>
      </c>
      <c r="AH212" s="198">
        <f t="shared" si="269"/>
        <v>0</v>
      </c>
      <c r="AI212" s="198"/>
      <c r="AJ212" s="198"/>
      <c r="AK212" s="198"/>
      <c r="AL212" s="198">
        <f>9937+2500+7688+485</f>
        <v>20610</v>
      </c>
      <c r="AM212" s="199">
        <f>AL212*1.12</f>
        <v>23083.200000000001</v>
      </c>
      <c r="AN212" s="198">
        <f>5+2+3</f>
        <v>10</v>
      </c>
      <c r="AO212" s="199">
        <f>AL212-$AI$206/$AK$206*AN212+AQ212*$AI$206/$AK$206</f>
        <v>-3321.9387755102034</v>
      </c>
      <c r="AP212" s="199">
        <f>AO212*1.12</f>
        <v>-3720.571428571428</v>
      </c>
      <c r="AQ212" s="199">
        <f>AN212-(3+2+2+0+3)</f>
        <v>0</v>
      </c>
      <c r="AR212" s="200" t="str">
        <f t="shared" si="273"/>
        <v/>
      </c>
      <c r="AS212" s="201"/>
      <c r="AT212" s="201"/>
      <c r="AU212" s="201"/>
      <c r="AV212" s="199">
        <f>ROUND(P212/1000,0)</f>
        <v>19561</v>
      </c>
      <c r="AW212" s="199">
        <f>AV212*1.12</f>
        <v>21908.320000000003</v>
      </c>
      <c r="AX212" s="199">
        <f>S212</f>
        <v>10</v>
      </c>
      <c r="AY212" s="199"/>
      <c r="AZ212" s="199">
        <f>AL212-$AI$206/$AK$206*AN212</f>
        <v>-3321.9387755102034</v>
      </c>
      <c r="BA212" s="199"/>
      <c r="BB212" s="199"/>
      <c r="BC212" s="199"/>
      <c r="BD212" s="199"/>
      <c r="BE212" s="199"/>
      <c r="BF212" s="199">
        <f>AQ212*$AI$206/$AK$206</f>
        <v>0</v>
      </c>
      <c r="BG212" s="199"/>
      <c r="BH212" s="199"/>
      <c r="BI212" s="199"/>
      <c r="BJ212" s="199"/>
      <c r="BK212" s="199"/>
      <c r="BL212" s="199"/>
      <c r="BM212" s="203"/>
      <c r="BN212" s="203"/>
      <c r="BO212" s="202"/>
      <c r="BP212" s="202"/>
      <c r="BQ212" s="202"/>
      <c r="BR212" s="203"/>
      <c r="BS212" s="203"/>
      <c r="BT212" s="202"/>
      <c r="BW212" s="202"/>
      <c r="BX212" s="205"/>
    </row>
    <row r="213" spans="1:76" s="97" customFormat="1" x14ac:dyDescent="0.25">
      <c r="A213" s="416"/>
      <c r="B213" s="429"/>
      <c r="C213" s="117" t="s">
        <v>71</v>
      </c>
      <c r="D213" s="117" t="s">
        <v>72</v>
      </c>
      <c r="E213" s="163"/>
      <c r="F213" s="163"/>
      <c r="G213" s="403"/>
      <c r="H213" s="405"/>
      <c r="I213" s="161"/>
      <c r="J213" s="161"/>
      <c r="K213" s="370"/>
      <c r="L213" s="419"/>
      <c r="M213" s="406"/>
      <c r="N213" s="120">
        <f t="shared" si="268"/>
        <v>19560981.821428571</v>
      </c>
      <c r="O213" s="120">
        <f t="shared" si="268"/>
        <v>21908299.640000001</v>
      </c>
      <c r="P213" s="120">
        <f t="shared" ref="P213:P214" si="275">Q213/1.12</f>
        <v>19560981.821428571</v>
      </c>
      <c r="Q213" s="120">
        <f>Q212</f>
        <v>21908299.640000001</v>
      </c>
      <c r="R213" s="369"/>
      <c r="S213" s="365"/>
      <c r="T213" s="206"/>
      <c r="U213" s="206"/>
      <c r="V213" s="206"/>
      <c r="W213" s="206"/>
      <c r="X213" s="206"/>
      <c r="Y213" s="206"/>
      <c r="Z213" s="119"/>
      <c r="AA213" s="119"/>
      <c r="AB213" s="119"/>
      <c r="AC213" s="119">
        <f>AC214</f>
        <v>0</v>
      </c>
      <c r="AD213" s="118">
        <f>AD214</f>
        <v>0</v>
      </c>
      <c r="AE213" s="119"/>
      <c r="AF213" s="119">
        <f t="shared" si="269"/>
        <v>0</v>
      </c>
      <c r="AG213" s="119">
        <f t="shared" si="269"/>
        <v>0</v>
      </c>
      <c r="AH213" s="119"/>
      <c r="AI213" s="119"/>
      <c r="AJ213" s="119">
        <f>AI213*1.12</f>
        <v>0</v>
      </c>
      <c r="AK213" s="119"/>
      <c r="AL213" s="119">
        <f>10871.7336/1.12+1677.62448/1.12+7236.25056/1.12</f>
        <v>17665.722000000002</v>
      </c>
      <c r="AM213" s="118">
        <f>AL213*1.12</f>
        <v>19785.608640000002</v>
      </c>
      <c r="AN213" s="119"/>
      <c r="AO213" s="118">
        <f>AL213-$AI$207/$AK$206*AN212+AQ212*$AI$207/$AK$206</f>
        <v>-3452.849428571426</v>
      </c>
      <c r="AP213" s="118">
        <f>AO213*1.12</f>
        <v>-3867.1913599999975</v>
      </c>
      <c r="AQ213" s="118"/>
      <c r="AR213" s="121" t="str">
        <f t="shared" si="273"/>
        <v/>
      </c>
      <c r="AS213" s="122"/>
      <c r="AT213" s="122">
        <f>AL213</f>
        <v>17665.722000000002</v>
      </c>
      <c r="AU213" s="122"/>
      <c r="AV213" s="118">
        <f>ROUND(P213/1000,0)</f>
        <v>19561</v>
      </c>
      <c r="AW213" s="118">
        <f t="shared" ref="AW213:AW232" si="276">AV213*1.12</f>
        <v>21908.320000000003</v>
      </c>
      <c r="AX213" s="118"/>
      <c r="AY213" s="118"/>
      <c r="AZ213" s="118"/>
      <c r="BA213" s="118"/>
      <c r="BB213" s="118"/>
      <c r="BC213" s="118"/>
      <c r="BD213" s="118"/>
      <c r="BE213" s="118"/>
      <c r="BF213" s="118"/>
      <c r="BG213" s="118"/>
      <c r="BH213" s="118"/>
      <c r="BI213" s="118"/>
      <c r="BJ213" s="118"/>
      <c r="BK213" s="118"/>
      <c r="BL213" s="118"/>
      <c r="BM213" s="207"/>
      <c r="BN213" s="207"/>
      <c r="BO213" s="100"/>
      <c r="BP213" s="100"/>
      <c r="BQ213" s="100"/>
      <c r="BR213" s="207"/>
      <c r="BS213" s="207"/>
      <c r="BT213" s="100"/>
      <c r="BW213" s="100"/>
      <c r="BX213" s="101"/>
    </row>
    <row r="214" spans="1:76" x14ac:dyDescent="0.25">
      <c r="A214" s="416"/>
      <c r="B214" s="429"/>
      <c r="C214" s="124" t="s">
        <v>71</v>
      </c>
      <c r="D214" s="124" t="s">
        <v>73</v>
      </c>
      <c r="E214" s="167"/>
      <c r="F214" s="167"/>
      <c r="G214" s="403"/>
      <c r="H214" s="405"/>
      <c r="I214" s="166"/>
      <c r="J214" s="166"/>
      <c r="K214" s="370"/>
      <c r="L214" s="419"/>
      <c r="M214" s="406"/>
      <c r="N214" s="127">
        <f t="shared" si="268"/>
        <v>19560981.821428571</v>
      </c>
      <c r="O214" s="127">
        <f t="shared" si="268"/>
        <v>21908299.640000001</v>
      </c>
      <c r="P214" s="127">
        <f t="shared" si="275"/>
        <v>19560981.821428571</v>
      </c>
      <c r="Q214" s="127">
        <f>Q213</f>
        <v>21908299.640000001</v>
      </c>
      <c r="R214" s="369"/>
      <c r="S214" s="365"/>
      <c r="T214" s="37"/>
      <c r="U214" s="37"/>
      <c r="V214" s="37"/>
      <c r="W214" s="37"/>
      <c r="X214" s="37"/>
      <c r="Y214" s="37"/>
      <c r="Z214" s="126"/>
      <c r="AA214" s="126"/>
      <c r="AB214" s="126"/>
      <c r="AC214" s="126"/>
      <c r="AD214" s="167">
        <f>AC214*1.12</f>
        <v>0</v>
      </c>
      <c r="AE214" s="126"/>
      <c r="AF214" s="126">
        <f t="shared" si="269"/>
        <v>0</v>
      </c>
      <c r="AG214" s="126">
        <f t="shared" si="269"/>
        <v>0</v>
      </c>
      <c r="AH214" s="126"/>
      <c r="AI214" s="126">
        <f>AI213</f>
        <v>0</v>
      </c>
      <c r="AJ214" s="126">
        <f>AJ213</f>
        <v>0</v>
      </c>
      <c r="AK214" s="126"/>
      <c r="AL214" s="126">
        <f>AL213</f>
        <v>17665.722000000002</v>
      </c>
      <c r="AM214" s="125">
        <f>AM213</f>
        <v>19785.608640000002</v>
      </c>
      <c r="AN214" s="126"/>
      <c r="AO214" s="125">
        <f>AO213</f>
        <v>-3452.849428571426</v>
      </c>
      <c r="AP214" s="125">
        <f>AP213</f>
        <v>-3867.1913599999975</v>
      </c>
      <c r="AQ214" s="125"/>
      <c r="AR214" s="128" t="str">
        <f t="shared" si="273"/>
        <v/>
      </c>
      <c r="AS214" s="129"/>
      <c r="AT214" s="129">
        <f>AL214</f>
        <v>17665.722000000002</v>
      </c>
      <c r="AU214" s="129"/>
      <c r="AV214" s="125">
        <f>AV213</f>
        <v>19561</v>
      </c>
      <c r="AW214" s="125">
        <f t="shared" si="276"/>
        <v>21908.320000000003</v>
      </c>
      <c r="AX214" s="125"/>
      <c r="AY214" s="125"/>
      <c r="AZ214" s="125"/>
      <c r="BA214" s="125"/>
      <c r="BB214" s="125"/>
      <c r="BC214" s="125"/>
      <c r="BD214" s="125"/>
      <c r="BE214" s="125"/>
      <c r="BF214" s="125"/>
      <c r="BG214" s="125"/>
      <c r="BH214" s="125"/>
      <c r="BI214" s="125"/>
      <c r="BJ214" s="125"/>
      <c r="BK214" s="125"/>
      <c r="BL214" s="125"/>
      <c r="BM214" s="208"/>
      <c r="BN214" s="208"/>
      <c r="BO214" s="25"/>
      <c r="BP214" s="25"/>
      <c r="BQ214" s="25"/>
      <c r="BR214" s="208"/>
      <c r="BS214" s="208"/>
      <c r="BT214" s="25"/>
      <c r="BW214" s="25"/>
      <c r="BX214" s="26"/>
    </row>
    <row r="215" spans="1:76" s="204" customFormat="1" x14ac:dyDescent="0.25">
      <c r="A215" s="416"/>
      <c r="B215" s="429"/>
      <c r="C215" s="193" t="s">
        <v>69</v>
      </c>
      <c r="D215" s="193" t="s">
        <v>70</v>
      </c>
      <c r="E215" s="194"/>
      <c r="F215" s="194"/>
      <c r="G215" s="403"/>
      <c r="H215" s="405"/>
      <c r="I215" s="195"/>
      <c r="J215" s="195"/>
      <c r="K215" s="370" t="s">
        <v>140</v>
      </c>
      <c r="L215" s="369" t="s">
        <v>141</v>
      </c>
      <c r="M215" s="406" t="s">
        <v>96</v>
      </c>
      <c r="N215" s="196">
        <f t="shared" si="268"/>
        <v>80200025.401785716</v>
      </c>
      <c r="O215" s="196">
        <f t="shared" si="268"/>
        <v>89824028.450000003</v>
      </c>
      <c r="P215" s="196">
        <f>Q215/1.12</f>
        <v>80200025.401785716</v>
      </c>
      <c r="Q215" s="196">
        <f>65724898.86+24099129.59</f>
        <v>89824028.450000003</v>
      </c>
      <c r="R215" s="369" t="s">
        <v>136</v>
      </c>
      <c r="S215" s="365">
        <f>30+11</f>
        <v>41</v>
      </c>
      <c r="T215" s="214"/>
      <c r="U215" s="214"/>
      <c r="V215" s="214"/>
      <c r="W215" s="214"/>
      <c r="X215" s="214"/>
      <c r="Y215" s="214"/>
      <c r="Z215" s="198"/>
      <c r="AA215" s="198"/>
      <c r="AB215" s="198"/>
      <c r="AC215" s="198"/>
      <c r="AD215" s="199">
        <f>AC215*1.12</f>
        <v>0</v>
      </c>
      <c r="AE215" s="198"/>
      <c r="AF215" s="198">
        <f t="shared" si="269"/>
        <v>0</v>
      </c>
      <c r="AG215" s="198">
        <f t="shared" si="269"/>
        <v>0</v>
      </c>
      <c r="AH215" s="198">
        <f t="shared" si="269"/>
        <v>0</v>
      </c>
      <c r="AI215" s="198"/>
      <c r="AJ215" s="198"/>
      <c r="AK215" s="198"/>
      <c r="AL215" s="198">
        <f>15832+53287</f>
        <v>69119</v>
      </c>
      <c r="AM215" s="199">
        <f>AL215*1.12</f>
        <v>77413.280000000013</v>
      </c>
      <c r="AN215" s="195">
        <f>9+4+3+5+2+3+3+12</f>
        <v>41</v>
      </c>
      <c r="AO215" s="199">
        <f>AL215-$AI$206/$AK$206*AN215+AQ215*$AI$206/$AK$206</f>
        <v>-29001.948979591834</v>
      </c>
      <c r="AP215" s="199">
        <f>AO215*1.12</f>
        <v>-32482.182857142856</v>
      </c>
      <c r="AQ215" s="199">
        <f>AN215-(10+6+7+5+4+4+5)</f>
        <v>0</v>
      </c>
      <c r="AR215" s="200" t="str">
        <f t="shared" si="273"/>
        <v/>
      </c>
      <c r="AS215" s="201"/>
      <c r="AT215" s="201"/>
      <c r="AU215" s="201"/>
      <c r="AV215" s="199">
        <f>E206-AV206-AV209-AV212</f>
        <v>224554</v>
      </c>
      <c r="AW215" s="199">
        <f t="shared" si="276"/>
        <v>251500.48</v>
      </c>
      <c r="AX215" s="199">
        <f>H206-AX206-AX209-AX212</f>
        <v>71</v>
      </c>
      <c r="AY215" s="199"/>
      <c r="AZ215" s="199">
        <f>AL215-$AI$206/$AK$206*AN215</f>
        <v>-29001.948979591834</v>
      </c>
      <c r="BA215" s="199"/>
      <c r="BB215" s="199"/>
      <c r="BC215" s="199"/>
      <c r="BD215" s="199"/>
      <c r="BE215" s="199"/>
      <c r="BF215" s="199"/>
      <c r="BG215" s="199"/>
      <c r="BH215" s="199"/>
      <c r="BI215" s="199"/>
      <c r="BJ215" s="199"/>
      <c r="BK215" s="237">
        <f>0*$AI$206/$AK$206</f>
        <v>0</v>
      </c>
      <c r="BL215" s="237">
        <f>0*$AI$206/$AK$206</f>
        <v>0</v>
      </c>
      <c r="BM215" s="203"/>
      <c r="BN215" s="203"/>
      <c r="BO215" s="202"/>
      <c r="BP215" s="202"/>
      <c r="BQ215" s="202"/>
      <c r="BR215" s="203"/>
      <c r="BS215" s="203"/>
      <c r="BT215" s="202"/>
      <c r="BW215" s="202"/>
      <c r="BX215" s="205"/>
    </row>
    <row r="216" spans="1:76" s="97" customFormat="1" x14ac:dyDescent="0.25">
      <c r="A216" s="416"/>
      <c r="B216" s="429"/>
      <c r="C216" s="117" t="s">
        <v>71</v>
      </c>
      <c r="D216" s="117" t="s">
        <v>72</v>
      </c>
      <c r="E216" s="163"/>
      <c r="F216" s="163"/>
      <c r="G216" s="403"/>
      <c r="H216" s="405"/>
      <c r="I216" s="161"/>
      <c r="J216" s="161"/>
      <c r="K216" s="370"/>
      <c r="L216" s="369"/>
      <c r="M216" s="406"/>
      <c r="N216" s="120">
        <f t="shared" si="268"/>
        <v>80200025.401785716</v>
      </c>
      <c r="O216" s="120">
        <f t="shared" si="268"/>
        <v>89824028.450000003</v>
      </c>
      <c r="P216" s="120">
        <f t="shared" ref="P216:P217" si="277">Q216/1.12</f>
        <v>80200025.401785716</v>
      </c>
      <c r="Q216" s="120">
        <f>Q215</f>
        <v>89824028.450000003</v>
      </c>
      <c r="R216" s="369"/>
      <c r="S216" s="365"/>
      <c r="T216" s="206"/>
      <c r="U216" s="206"/>
      <c r="V216" s="206"/>
      <c r="W216" s="206"/>
      <c r="X216" s="206"/>
      <c r="Y216" s="206"/>
      <c r="Z216" s="119"/>
      <c r="AA216" s="119"/>
      <c r="AB216" s="119"/>
      <c r="AC216" s="119">
        <f>AC217</f>
        <v>0</v>
      </c>
      <c r="AD216" s="118">
        <f>AD217</f>
        <v>0</v>
      </c>
      <c r="AE216" s="119"/>
      <c r="AF216" s="119">
        <f t="shared" si="269"/>
        <v>0</v>
      </c>
      <c r="AG216" s="119">
        <f t="shared" si="269"/>
        <v>0</v>
      </c>
      <c r="AH216" s="119"/>
      <c r="AI216" s="119"/>
      <c r="AJ216" s="119">
        <f>AI216*1.12</f>
        <v>0</v>
      </c>
      <c r="AK216" s="119"/>
      <c r="AL216" s="119">
        <f>20774.61728/1.12+3770.84484/1.12+4864.01989/1.12+2055.66932/1.12+3691.17998/1.12</f>
        <v>31389.581526785711</v>
      </c>
      <c r="AM216" s="118">
        <f>AL216*1.12</f>
        <v>35156.331310000001</v>
      </c>
      <c r="AN216" s="119"/>
      <c r="AO216" s="118">
        <f>AL216-$AI$207/$AK$206*AN215+AQ215*$AI$207/$AK$206</f>
        <v>-55196.561330357144</v>
      </c>
      <c r="AP216" s="118">
        <f>AO216*1.12</f>
        <v>-61820.148690000009</v>
      </c>
      <c r="AQ216" s="118"/>
      <c r="AR216" s="121" t="str">
        <f t="shared" si="273"/>
        <v/>
      </c>
      <c r="AS216" s="122"/>
      <c r="AT216" s="122">
        <f>AL216</f>
        <v>31389.581526785711</v>
      </c>
      <c r="AU216" s="122"/>
      <c r="AV216" s="118">
        <f>E207-AV207-AV210-AV213</f>
        <v>224554</v>
      </c>
      <c r="AW216" s="118">
        <f t="shared" si="276"/>
        <v>251500.48</v>
      </c>
      <c r="AX216" s="118"/>
      <c r="AY216" s="118"/>
      <c r="AZ216" s="118"/>
      <c r="BA216" s="118"/>
      <c r="BB216" s="118"/>
      <c r="BC216" s="118"/>
      <c r="BD216" s="118"/>
      <c r="BE216" s="118"/>
      <c r="BF216" s="118"/>
      <c r="BG216" s="118"/>
      <c r="BH216" s="118"/>
      <c r="BI216" s="118"/>
      <c r="BJ216" s="118"/>
      <c r="BK216" s="118"/>
      <c r="BL216" s="118"/>
      <c r="BM216" s="207"/>
      <c r="BN216" s="207"/>
      <c r="BO216" s="100"/>
      <c r="BP216" s="100"/>
      <c r="BQ216" s="100"/>
      <c r="BR216" s="207"/>
      <c r="BS216" s="207"/>
      <c r="BT216" s="100"/>
      <c r="BU216" s="97">
        <v>7473083.46</v>
      </c>
      <c r="BW216" s="100"/>
      <c r="BX216" s="101"/>
    </row>
    <row r="217" spans="1:76" x14ac:dyDescent="0.25">
      <c r="A217" s="416"/>
      <c r="B217" s="429"/>
      <c r="C217" s="124" t="s">
        <v>71</v>
      </c>
      <c r="D217" s="124" t="s">
        <v>73</v>
      </c>
      <c r="E217" s="167"/>
      <c r="F217" s="167"/>
      <c r="G217" s="403"/>
      <c r="H217" s="405"/>
      <c r="I217" s="166"/>
      <c r="J217" s="166"/>
      <c r="K217" s="370"/>
      <c r="L217" s="369"/>
      <c r="M217" s="406"/>
      <c r="N217" s="127">
        <f t="shared" si="268"/>
        <v>80200025.401785716</v>
      </c>
      <c r="O217" s="127">
        <f t="shared" si="268"/>
        <v>89824028.450000003</v>
      </c>
      <c r="P217" s="127">
        <f t="shared" si="277"/>
        <v>80200025.401785716</v>
      </c>
      <c r="Q217" s="127">
        <f>Q216</f>
        <v>89824028.450000003</v>
      </c>
      <c r="R217" s="369"/>
      <c r="S217" s="365"/>
      <c r="T217" s="37"/>
      <c r="U217" s="37"/>
      <c r="V217" s="37"/>
      <c r="W217" s="37"/>
      <c r="X217" s="37"/>
      <c r="Y217" s="37"/>
      <c r="Z217" s="126"/>
      <c r="AA217" s="126"/>
      <c r="AB217" s="126"/>
      <c r="AC217" s="126"/>
      <c r="AD217" s="167">
        <f>AC217*1.12</f>
        <v>0</v>
      </c>
      <c r="AE217" s="126"/>
      <c r="AF217" s="126">
        <f t="shared" si="269"/>
        <v>0</v>
      </c>
      <c r="AG217" s="126">
        <f t="shared" si="269"/>
        <v>0</v>
      </c>
      <c r="AH217" s="126"/>
      <c r="AI217" s="126">
        <f>AI216</f>
        <v>0</v>
      </c>
      <c r="AJ217" s="126">
        <f>AJ216</f>
        <v>0</v>
      </c>
      <c r="AK217" s="126"/>
      <c r="AL217" s="126">
        <f>AL216</f>
        <v>31389.581526785711</v>
      </c>
      <c r="AM217" s="125">
        <f>AL217*1.12</f>
        <v>35156.331310000001</v>
      </c>
      <c r="AN217" s="126"/>
      <c r="AO217" s="125">
        <f>AO216</f>
        <v>-55196.561330357144</v>
      </c>
      <c r="AP217" s="125">
        <f>AP216</f>
        <v>-61820.148690000009</v>
      </c>
      <c r="AQ217" s="125"/>
      <c r="AR217" s="128" t="str">
        <f t="shared" si="273"/>
        <v/>
      </c>
      <c r="AS217" s="129"/>
      <c r="AT217" s="129">
        <f>AL217</f>
        <v>31389.581526785711</v>
      </c>
      <c r="AU217" s="129"/>
      <c r="AV217" s="125">
        <f>AV216</f>
        <v>224554</v>
      </c>
      <c r="AW217" s="125">
        <f t="shared" si="276"/>
        <v>251500.48</v>
      </c>
      <c r="AX217" s="125"/>
      <c r="AY217" s="125"/>
      <c r="AZ217" s="125"/>
      <c r="BA217" s="125"/>
      <c r="BB217" s="125"/>
      <c r="BC217" s="125"/>
      <c r="BD217" s="125"/>
      <c r="BE217" s="125"/>
      <c r="BF217" s="125"/>
      <c r="BG217" s="125"/>
      <c r="BH217" s="125"/>
      <c r="BI217" s="125"/>
      <c r="BJ217" s="125"/>
      <c r="BK217" s="125"/>
      <c r="BL217" s="125"/>
      <c r="BM217" s="208"/>
      <c r="BN217" s="208"/>
      <c r="BO217" s="25"/>
      <c r="BP217" s="25"/>
      <c r="BQ217" s="25"/>
      <c r="BR217" s="208"/>
      <c r="BS217" s="208"/>
      <c r="BT217" s="25"/>
      <c r="BW217" s="25"/>
      <c r="BX217" s="26"/>
    </row>
    <row r="218" spans="1:76" s="204" customFormat="1" x14ac:dyDescent="0.25">
      <c r="A218" s="416"/>
      <c r="B218" s="429"/>
      <c r="C218" s="193" t="s">
        <v>69</v>
      </c>
      <c r="D218" s="193" t="s">
        <v>70</v>
      </c>
      <c r="E218" s="194"/>
      <c r="F218" s="194"/>
      <c r="G218" s="403"/>
      <c r="H218" s="405"/>
      <c r="I218" s="195"/>
      <c r="J218" s="218"/>
      <c r="K218" s="382" t="s">
        <v>142</v>
      </c>
      <c r="L218" s="379" t="s">
        <v>143</v>
      </c>
      <c r="M218" s="406" t="s">
        <v>96</v>
      </c>
      <c r="N218" s="196">
        <f t="shared" si="268"/>
        <v>19560981.821428571</v>
      </c>
      <c r="O218" s="196">
        <f t="shared" si="268"/>
        <v>21908299.640000001</v>
      </c>
      <c r="P218" s="219">
        <f>Q218/1.12</f>
        <v>19560981.821428571</v>
      </c>
      <c r="Q218" s="196">
        <v>21908299.640000001</v>
      </c>
      <c r="R218" s="369" t="s">
        <v>136</v>
      </c>
      <c r="S218" s="365">
        <v>10</v>
      </c>
      <c r="T218" s="214"/>
      <c r="U218" s="214"/>
      <c r="V218" s="214"/>
      <c r="W218" s="214"/>
      <c r="X218" s="214"/>
      <c r="Y218" s="214"/>
      <c r="Z218" s="198"/>
      <c r="AA218" s="198"/>
      <c r="AB218" s="198"/>
      <c r="AC218" s="198"/>
      <c r="AD218" s="199">
        <f>AC218*1.12</f>
        <v>0</v>
      </c>
      <c r="AE218" s="198"/>
      <c r="AF218" s="198">
        <f t="shared" si="269"/>
        <v>0</v>
      </c>
      <c r="AG218" s="198">
        <f t="shared" si="269"/>
        <v>0</v>
      </c>
      <c r="AH218" s="198">
        <f t="shared" si="269"/>
        <v>0</v>
      </c>
      <c r="AI218" s="198"/>
      <c r="AJ218" s="198"/>
      <c r="AK218" s="198"/>
      <c r="AL218" s="198">
        <f>5617+4844+3994+8975-5205+1</f>
        <v>18226</v>
      </c>
      <c r="AM218" s="199">
        <f>AL218*1.12</f>
        <v>20413.120000000003</v>
      </c>
      <c r="AN218" s="198">
        <f>5+2+2+1</f>
        <v>10</v>
      </c>
      <c r="AO218" s="199">
        <f>AL218-$AI$206/$AK$206*AN218+AQ218*$AI$206/$AK$206</f>
        <v>-5705.9387755102034</v>
      </c>
      <c r="AP218" s="199">
        <f>AO218*1.12</f>
        <v>-6390.6514285714284</v>
      </c>
      <c r="AQ218" s="199">
        <f>AN218-(3+2+2+2+1)</f>
        <v>0</v>
      </c>
      <c r="AR218" s="200" t="str">
        <f t="shared" si="273"/>
        <v/>
      </c>
      <c r="AS218" s="201"/>
      <c r="AT218" s="201"/>
      <c r="AU218" s="201"/>
      <c r="AV218" s="199"/>
      <c r="AW218" s="199">
        <f t="shared" si="276"/>
        <v>0</v>
      </c>
      <c r="AX218" s="199"/>
      <c r="AY218" s="199"/>
      <c r="AZ218" s="199">
        <f>AL218-$AI$206/$AK$206*AN218</f>
        <v>-5705.9387755102034</v>
      </c>
      <c r="BA218" s="199"/>
      <c r="BB218" s="199"/>
      <c r="BC218" s="199"/>
      <c r="BD218" s="199"/>
      <c r="BE218" s="199"/>
      <c r="BF218" s="199">
        <f>AQ218*$AI$206/$AK$206</f>
        <v>0</v>
      </c>
      <c r="BG218" s="199"/>
      <c r="BH218" s="199"/>
      <c r="BI218" s="199"/>
      <c r="BJ218" s="199"/>
      <c r="BK218" s="199"/>
      <c r="BL218" s="199"/>
      <c r="BM218" s="203"/>
      <c r="BN218" s="203"/>
      <c r="BO218" s="202"/>
      <c r="BP218" s="202"/>
      <c r="BQ218" s="202"/>
      <c r="BR218" s="203"/>
      <c r="BS218" s="203"/>
      <c r="BT218" s="202"/>
      <c r="BW218" s="202"/>
      <c r="BX218" s="205"/>
    </row>
    <row r="219" spans="1:76" s="97" customFormat="1" x14ac:dyDescent="0.25">
      <c r="A219" s="416"/>
      <c r="B219" s="429"/>
      <c r="C219" s="117" t="s">
        <v>71</v>
      </c>
      <c r="D219" s="117" t="s">
        <v>72</v>
      </c>
      <c r="E219" s="163"/>
      <c r="F219" s="163"/>
      <c r="G219" s="403"/>
      <c r="H219" s="405"/>
      <c r="I219" s="161"/>
      <c r="J219" s="220"/>
      <c r="K219" s="383"/>
      <c r="L219" s="380"/>
      <c r="M219" s="406"/>
      <c r="N219" s="120">
        <f t="shared" si="268"/>
        <v>19560981.821428571</v>
      </c>
      <c r="O219" s="120">
        <f t="shared" si="268"/>
        <v>21908299.640000001</v>
      </c>
      <c r="P219" s="221">
        <f>Q219/1.12</f>
        <v>19560981.821428571</v>
      </c>
      <c r="Q219" s="120">
        <f>Q218</f>
        <v>21908299.640000001</v>
      </c>
      <c r="R219" s="369"/>
      <c r="S219" s="365"/>
      <c r="T219" s="206"/>
      <c r="U219" s="206"/>
      <c r="V219" s="206"/>
      <c r="W219" s="206"/>
      <c r="X219" s="206"/>
      <c r="Y219" s="206"/>
      <c r="Z219" s="119"/>
      <c r="AA219" s="119"/>
      <c r="AB219" s="119"/>
      <c r="AC219" s="119">
        <f>AC220</f>
        <v>0</v>
      </c>
      <c r="AD219" s="118">
        <f>AD220</f>
        <v>0</v>
      </c>
      <c r="AE219" s="119"/>
      <c r="AF219" s="119">
        <f t="shared" si="269"/>
        <v>0</v>
      </c>
      <c r="AG219" s="119">
        <f t="shared" si="269"/>
        <v>0</v>
      </c>
      <c r="AH219" s="119"/>
      <c r="AI219" s="119"/>
      <c r="AJ219" s="119">
        <f>AI219*1.12</f>
        <v>0</v>
      </c>
      <c r="AK219" s="119"/>
      <c r="AL219" s="119">
        <f>6095.87031/1.12+5301.85824/1.12+5389.70018/1.12+2700.33249/1.12</f>
        <v>17399.786803571427</v>
      </c>
      <c r="AM219" s="118">
        <f>AL219*1.12</f>
        <v>19487.76122</v>
      </c>
      <c r="AN219" s="119"/>
      <c r="AO219" s="118">
        <f>AL219-$AI$207/$AK$206*AN218+AQ218*$AI$207/$AK$206</f>
        <v>-3718.7846250000002</v>
      </c>
      <c r="AP219" s="118">
        <f>AO219*1.12</f>
        <v>-4165.0387800000008</v>
      </c>
      <c r="AQ219" s="118"/>
      <c r="AR219" s="121" t="str">
        <f t="shared" si="273"/>
        <v/>
      </c>
      <c r="AS219" s="122"/>
      <c r="AT219" s="122">
        <f>AL219</f>
        <v>17399.786803571427</v>
      </c>
      <c r="AU219" s="122"/>
      <c r="AV219" s="118">
        <f>AL219</f>
        <v>17399.786803571427</v>
      </c>
      <c r="AW219" s="118">
        <f t="shared" si="276"/>
        <v>19487.76122</v>
      </c>
      <c r="AX219" s="118"/>
      <c r="AY219" s="118"/>
      <c r="AZ219" s="118"/>
      <c r="BA219" s="118"/>
      <c r="BB219" s="118"/>
      <c r="BC219" s="118"/>
      <c r="BD219" s="118"/>
      <c r="BE219" s="118"/>
      <c r="BF219" s="118"/>
      <c r="BG219" s="118"/>
      <c r="BH219" s="118"/>
      <c r="BI219" s="118"/>
      <c r="BJ219" s="118"/>
      <c r="BK219" s="118"/>
      <c r="BL219" s="118"/>
      <c r="BM219" s="207"/>
      <c r="BN219" s="207"/>
      <c r="BO219" s="100"/>
      <c r="BP219" s="100"/>
      <c r="BQ219" s="100"/>
      <c r="BR219" s="207"/>
      <c r="BS219" s="207"/>
      <c r="BT219" s="100"/>
      <c r="BW219" s="100"/>
      <c r="BX219" s="101"/>
    </row>
    <row r="220" spans="1:76" x14ac:dyDescent="0.25">
      <c r="A220" s="416"/>
      <c r="B220" s="429"/>
      <c r="C220" s="124" t="s">
        <v>71</v>
      </c>
      <c r="D220" s="124" t="s">
        <v>73</v>
      </c>
      <c r="E220" s="167"/>
      <c r="F220" s="167"/>
      <c r="G220" s="403"/>
      <c r="H220" s="405"/>
      <c r="I220" s="166"/>
      <c r="J220" s="223"/>
      <c r="K220" s="384"/>
      <c r="L220" s="381"/>
      <c r="M220" s="406"/>
      <c r="N220" s="127">
        <f t="shared" si="268"/>
        <v>19560981.821428571</v>
      </c>
      <c r="O220" s="127">
        <f t="shared" si="268"/>
        <v>21908299.640000001</v>
      </c>
      <c r="P220" s="224">
        <f>Q220/1.12</f>
        <v>19560981.821428571</v>
      </c>
      <c r="Q220" s="127">
        <f>Q219</f>
        <v>21908299.640000001</v>
      </c>
      <c r="R220" s="369"/>
      <c r="S220" s="365"/>
      <c r="T220" s="37"/>
      <c r="U220" s="37"/>
      <c r="V220" s="37"/>
      <c r="W220" s="37"/>
      <c r="X220" s="37"/>
      <c r="Y220" s="37"/>
      <c r="Z220" s="126"/>
      <c r="AA220" s="126"/>
      <c r="AB220" s="126"/>
      <c r="AC220" s="126"/>
      <c r="AD220" s="167">
        <f>AC220*1.12</f>
        <v>0</v>
      </c>
      <c r="AE220" s="126"/>
      <c r="AF220" s="126">
        <f t="shared" si="269"/>
        <v>0</v>
      </c>
      <c r="AG220" s="126">
        <f t="shared" si="269"/>
        <v>0</v>
      </c>
      <c r="AH220" s="126"/>
      <c r="AI220" s="126">
        <f>AI219</f>
        <v>0</v>
      </c>
      <c r="AJ220" s="126">
        <f>AJ219</f>
        <v>0</v>
      </c>
      <c r="AK220" s="126"/>
      <c r="AL220" s="126">
        <f>AL219</f>
        <v>17399.786803571427</v>
      </c>
      <c r="AM220" s="125">
        <f>AM219</f>
        <v>19487.76122</v>
      </c>
      <c r="AN220" s="126"/>
      <c r="AO220" s="125">
        <f>AO219</f>
        <v>-3718.7846250000002</v>
      </c>
      <c r="AP220" s="125">
        <f>AP219</f>
        <v>-4165.0387800000008</v>
      </c>
      <c r="AQ220" s="125"/>
      <c r="AR220" s="128" t="str">
        <f t="shared" si="273"/>
        <v/>
      </c>
      <c r="AS220" s="129"/>
      <c r="AT220" s="129">
        <f>AL220</f>
        <v>17399.786803571427</v>
      </c>
      <c r="AU220" s="129"/>
      <c r="AV220" s="125">
        <f>AL220</f>
        <v>17399.786803571427</v>
      </c>
      <c r="AW220" s="125">
        <f t="shared" si="276"/>
        <v>19487.76122</v>
      </c>
      <c r="AX220" s="125"/>
      <c r="AY220" s="125"/>
      <c r="AZ220" s="125"/>
      <c r="BA220" s="125"/>
      <c r="BB220" s="125"/>
      <c r="BC220" s="125"/>
      <c r="BD220" s="125"/>
      <c r="BE220" s="125"/>
      <c r="BF220" s="125"/>
      <c r="BG220" s="125"/>
      <c r="BH220" s="125"/>
      <c r="BI220" s="125"/>
      <c r="BJ220" s="125"/>
      <c r="BK220" s="125"/>
      <c r="BL220" s="125"/>
      <c r="BM220" s="208"/>
      <c r="BN220" s="208"/>
      <c r="BO220" s="25"/>
      <c r="BP220" s="25"/>
      <c r="BQ220" s="25"/>
      <c r="BR220" s="208"/>
      <c r="BS220" s="208"/>
      <c r="BT220" s="25"/>
      <c r="BW220" s="25"/>
      <c r="BX220" s="26"/>
    </row>
    <row r="221" spans="1:76" s="204" customFormat="1" x14ac:dyDescent="0.25">
      <c r="A221" s="416"/>
      <c r="B221" s="429"/>
      <c r="C221" s="193" t="s">
        <v>69</v>
      </c>
      <c r="D221" s="193" t="s">
        <v>70</v>
      </c>
      <c r="E221" s="194"/>
      <c r="F221" s="194"/>
      <c r="G221" s="403"/>
      <c r="H221" s="405"/>
      <c r="I221" s="195"/>
      <c r="J221" s="218"/>
      <c r="K221" s="370" t="s">
        <v>115</v>
      </c>
      <c r="L221" s="423" t="s">
        <v>144</v>
      </c>
      <c r="M221" s="372" t="s">
        <v>96</v>
      </c>
      <c r="N221" s="196">
        <f t="shared" si="268"/>
        <v>39121963</v>
      </c>
      <c r="O221" s="196">
        <f t="shared" si="268"/>
        <v>43816598.560000002</v>
      </c>
      <c r="P221" s="219">
        <f>Q221/1.12</f>
        <v>39121963</v>
      </c>
      <c r="Q221" s="196">
        <v>43816598.560000002</v>
      </c>
      <c r="R221" s="369" t="s">
        <v>136</v>
      </c>
      <c r="S221" s="365">
        <v>20</v>
      </c>
      <c r="T221" s="214"/>
      <c r="U221" s="214"/>
      <c r="V221" s="214"/>
      <c r="W221" s="214"/>
      <c r="X221" s="214"/>
      <c r="Y221" s="214"/>
      <c r="Z221" s="198"/>
      <c r="AA221" s="198"/>
      <c r="AB221" s="198"/>
      <c r="AC221" s="198"/>
      <c r="AD221" s="199">
        <f>AC221*1.12</f>
        <v>0</v>
      </c>
      <c r="AE221" s="198"/>
      <c r="AF221" s="198">
        <f t="shared" si="269"/>
        <v>0</v>
      </c>
      <c r="AG221" s="198">
        <f t="shared" si="269"/>
        <v>0</v>
      </c>
      <c r="AH221" s="198">
        <f t="shared" si="269"/>
        <v>0</v>
      </c>
      <c r="AI221" s="198"/>
      <c r="AJ221" s="198"/>
      <c r="AK221" s="198"/>
      <c r="AL221" s="198">
        <f>5294+3920+6724+3667+1314+8+1+6980+3478+547</f>
        <v>31933</v>
      </c>
      <c r="AM221" s="199">
        <f t="shared" ref="AM221:AM232" si="278">AL221*1.12</f>
        <v>35764.960000000006</v>
      </c>
      <c r="AN221" s="198">
        <f>4+3+3+4+1+5</f>
        <v>20</v>
      </c>
      <c r="AO221" s="199">
        <f>AL221-$AI$206/$AK$206*AN221+AQ221*$AI$206/$AK$206</f>
        <v>-15930.877551020407</v>
      </c>
      <c r="AP221" s="199">
        <f>AO221*1.12</f>
        <v>-17842.582857142857</v>
      </c>
      <c r="AQ221" s="199">
        <f>AN221-(2+3+3+3+3+3+3)</f>
        <v>0</v>
      </c>
      <c r="AR221" s="200" t="str">
        <f t="shared" si="273"/>
        <v/>
      </c>
      <c r="AS221" s="201"/>
      <c r="AT221" s="201"/>
      <c r="AU221" s="201"/>
      <c r="AV221" s="199"/>
      <c r="AW221" s="199">
        <f t="shared" si="276"/>
        <v>0</v>
      </c>
      <c r="AX221" s="199"/>
      <c r="AY221" s="199"/>
      <c r="AZ221" s="199">
        <f>AL221-$AI$206/$AK$206*AN221</f>
        <v>-15930.877551020407</v>
      </c>
      <c r="BA221" s="199"/>
      <c r="BB221" s="199"/>
      <c r="BC221" s="199"/>
      <c r="BD221" s="199"/>
      <c r="BE221" s="199"/>
      <c r="BF221" s="199"/>
      <c r="BG221" s="199"/>
      <c r="BH221" s="199"/>
      <c r="BI221" s="199"/>
      <c r="BJ221" s="199"/>
      <c r="BK221" s="199"/>
      <c r="BL221" s="199">
        <f>AQ221*$AI$206/$AK$206</f>
        <v>0</v>
      </c>
      <c r="BM221" s="203"/>
      <c r="BN221" s="203"/>
      <c r="BO221" s="202"/>
      <c r="BP221" s="202"/>
      <c r="BQ221" s="202"/>
      <c r="BR221" s="203"/>
      <c r="BS221" s="203"/>
      <c r="BT221" s="202"/>
      <c r="BW221" s="202"/>
      <c r="BX221" s="205"/>
    </row>
    <row r="222" spans="1:76" s="97" customFormat="1" x14ac:dyDescent="0.25">
      <c r="A222" s="416"/>
      <c r="B222" s="429"/>
      <c r="C222" s="117" t="s">
        <v>71</v>
      </c>
      <c r="D222" s="117" t="s">
        <v>72</v>
      </c>
      <c r="E222" s="163"/>
      <c r="F222" s="163"/>
      <c r="G222" s="403"/>
      <c r="H222" s="405"/>
      <c r="I222" s="161"/>
      <c r="J222" s="220"/>
      <c r="K222" s="370"/>
      <c r="L222" s="424"/>
      <c r="M222" s="373"/>
      <c r="N222" s="120">
        <f t="shared" si="268"/>
        <v>39121963</v>
      </c>
      <c r="O222" s="120">
        <f t="shared" si="268"/>
        <v>43816598.560000002</v>
      </c>
      <c r="P222" s="221">
        <f t="shared" ref="P222:P223" si="279">Q222/1.12</f>
        <v>39121963</v>
      </c>
      <c r="Q222" s="120">
        <f>Q221</f>
        <v>43816598.560000002</v>
      </c>
      <c r="R222" s="369"/>
      <c r="S222" s="365"/>
      <c r="T222" s="206"/>
      <c r="U222" s="206"/>
      <c r="V222" s="206"/>
      <c r="W222" s="206"/>
      <c r="X222" s="206"/>
      <c r="Y222" s="206"/>
      <c r="Z222" s="119"/>
      <c r="AA222" s="119"/>
      <c r="AB222" s="119"/>
      <c r="AC222" s="119">
        <f>AC223</f>
        <v>0</v>
      </c>
      <c r="AD222" s="118">
        <f>AD223</f>
        <v>0</v>
      </c>
      <c r="AE222" s="119"/>
      <c r="AF222" s="119">
        <f t="shared" si="269"/>
        <v>0</v>
      </c>
      <c r="AG222" s="119">
        <f t="shared" si="269"/>
        <v>0</v>
      </c>
      <c r="AH222" s="119"/>
      <c r="AI222" s="119"/>
      <c r="AJ222" s="119">
        <f>AI222*1.12</f>
        <v>0</v>
      </c>
      <c r="AK222" s="119"/>
      <c r="AL222" s="119">
        <f>4590.59328/1.12+3493.33152/1.12+4023.40176/1.12+5842.18432/1.12+1341.10108/1.12+5722.6624/1.12</f>
        <v>22333.280678571427</v>
      </c>
      <c r="AM222" s="118">
        <f t="shared" si="278"/>
        <v>25013.274359999999</v>
      </c>
      <c r="AN222" s="119"/>
      <c r="AO222" s="118">
        <f>AL222-$AI$207/$AK$206*AN221+AQ221*$AI$207/$AK$206</f>
        <v>-19903.862178571428</v>
      </c>
      <c r="AP222" s="118">
        <f>AO222*1.12</f>
        <v>-22292.325640000003</v>
      </c>
      <c r="AQ222" s="118"/>
      <c r="AR222" s="121" t="str">
        <f t="shared" si="273"/>
        <v/>
      </c>
      <c r="AS222" s="122"/>
      <c r="AT222" s="122">
        <f>AL222</f>
        <v>22333.280678571427</v>
      </c>
      <c r="AU222" s="122"/>
      <c r="AV222" s="118">
        <f>AL222</f>
        <v>22333.280678571427</v>
      </c>
      <c r="AW222" s="118">
        <f t="shared" si="276"/>
        <v>25013.274359999999</v>
      </c>
      <c r="AX222" s="118"/>
      <c r="AY222" s="118"/>
      <c r="AZ222" s="118"/>
      <c r="BA222" s="118"/>
      <c r="BB222" s="118"/>
      <c r="BC222" s="118"/>
      <c r="BD222" s="118"/>
      <c r="BE222" s="118"/>
      <c r="BF222" s="118"/>
      <c r="BG222" s="118"/>
      <c r="BH222" s="118"/>
      <c r="BI222" s="118"/>
      <c r="BJ222" s="118"/>
      <c r="BK222" s="118"/>
      <c r="BL222" s="118"/>
      <c r="BM222" s="207"/>
      <c r="BN222" s="207"/>
      <c r="BO222" s="100"/>
      <c r="BP222" s="100"/>
      <c r="BQ222" s="100"/>
      <c r="BR222" s="207"/>
      <c r="BS222" s="207"/>
      <c r="BT222" s="100"/>
      <c r="BU222" s="97">
        <v>2828835.66</v>
      </c>
      <c r="BV222" s="97">
        <v>32524934.399999999</v>
      </c>
      <c r="BW222" s="100"/>
      <c r="BX222" s="101"/>
    </row>
    <row r="223" spans="1:76" x14ac:dyDescent="0.25">
      <c r="A223" s="416"/>
      <c r="B223" s="429"/>
      <c r="C223" s="124" t="s">
        <v>71</v>
      </c>
      <c r="D223" s="124" t="s">
        <v>73</v>
      </c>
      <c r="E223" s="167"/>
      <c r="F223" s="167"/>
      <c r="G223" s="403"/>
      <c r="H223" s="405"/>
      <c r="I223" s="166"/>
      <c r="J223" s="223"/>
      <c r="K223" s="370"/>
      <c r="L223" s="425"/>
      <c r="M223" s="374"/>
      <c r="N223" s="127">
        <f t="shared" si="268"/>
        <v>39121963</v>
      </c>
      <c r="O223" s="127">
        <f t="shared" si="268"/>
        <v>43816598.560000002</v>
      </c>
      <c r="P223" s="224">
        <f t="shared" si="279"/>
        <v>39121963</v>
      </c>
      <c r="Q223" s="127">
        <f>Q222</f>
        <v>43816598.560000002</v>
      </c>
      <c r="R223" s="369"/>
      <c r="S223" s="365"/>
      <c r="T223" s="37"/>
      <c r="U223" s="37"/>
      <c r="V223" s="37"/>
      <c r="W223" s="37"/>
      <c r="X223" s="37"/>
      <c r="Y223" s="37"/>
      <c r="Z223" s="126"/>
      <c r="AA223" s="126"/>
      <c r="AB223" s="126"/>
      <c r="AC223" s="126"/>
      <c r="AD223" s="167">
        <f>AC223*1.12</f>
        <v>0</v>
      </c>
      <c r="AE223" s="126"/>
      <c r="AF223" s="126">
        <f t="shared" si="269"/>
        <v>0</v>
      </c>
      <c r="AG223" s="126">
        <f t="shared" si="269"/>
        <v>0</v>
      </c>
      <c r="AH223" s="126"/>
      <c r="AI223" s="126">
        <f>AI222</f>
        <v>0</v>
      </c>
      <c r="AJ223" s="126">
        <f>AJ222</f>
        <v>0</v>
      </c>
      <c r="AK223" s="126"/>
      <c r="AL223" s="126">
        <f>AL222</f>
        <v>22333.280678571427</v>
      </c>
      <c r="AM223" s="125">
        <f t="shared" si="278"/>
        <v>25013.274359999999</v>
      </c>
      <c r="AN223" s="126"/>
      <c r="AO223" s="125">
        <f>AO222</f>
        <v>-19903.862178571428</v>
      </c>
      <c r="AP223" s="125">
        <f>AP222</f>
        <v>-22292.325640000003</v>
      </c>
      <c r="AQ223" s="125"/>
      <c r="AR223" s="128" t="str">
        <f t="shared" si="273"/>
        <v/>
      </c>
      <c r="AS223" s="129"/>
      <c r="AT223" s="129">
        <f>AL223</f>
        <v>22333.280678571427</v>
      </c>
      <c r="AU223" s="129"/>
      <c r="AV223" s="125">
        <f>AL223</f>
        <v>22333.280678571427</v>
      </c>
      <c r="AW223" s="125">
        <f t="shared" si="276"/>
        <v>25013.274359999999</v>
      </c>
      <c r="AX223" s="125"/>
      <c r="AY223" s="125"/>
      <c r="AZ223" s="125"/>
      <c r="BA223" s="125"/>
      <c r="BB223" s="125"/>
      <c r="BC223" s="125"/>
      <c r="BD223" s="125"/>
      <c r="BE223" s="125"/>
      <c r="BF223" s="125"/>
      <c r="BG223" s="125"/>
      <c r="BH223" s="125"/>
      <c r="BI223" s="125"/>
      <c r="BJ223" s="125"/>
      <c r="BK223" s="125"/>
      <c r="BL223" s="125"/>
      <c r="BM223" s="208"/>
      <c r="BN223" s="208"/>
      <c r="BO223" s="25"/>
      <c r="BP223" s="25"/>
      <c r="BQ223" s="25"/>
      <c r="BR223" s="208"/>
      <c r="BS223" s="208"/>
      <c r="BT223" s="25"/>
      <c r="BW223" s="25"/>
      <c r="BX223" s="26"/>
    </row>
    <row r="224" spans="1:76" s="204" customFormat="1" ht="16.5" hidden="1" customHeight="1" outlineLevel="1" x14ac:dyDescent="0.25">
      <c r="A224" s="416"/>
      <c r="B224" s="429"/>
      <c r="C224" s="193" t="s">
        <v>69</v>
      </c>
      <c r="D224" s="193" t="s">
        <v>70</v>
      </c>
      <c r="E224" s="194"/>
      <c r="F224" s="194"/>
      <c r="G224" s="403"/>
      <c r="H224" s="405"/>
      <c r="I224" s="195"/>
      <c r="J224" s="218"/>
      <c r="K224" s="359"/>
      <c r="L224" s="369"/>
      <c r="M224" s="406" t="s">
        <v>96</v>
      </c>
      <c r="N224" s="196">
        <f t="shared" si="268"/>
        <v>0</v>
      </c>
      <c r="O224" s="196">
        <f t="shared" si="268"/>
        <v>0</v>
      </c>
      <c r="P224" s="196">
        <f>Q224/1.12</f>
        <v>0</v>
      </c>
      <c r="Q224" s="196"/>
      <c r="R224" s="369"/>
      <c r="S224" s="365"/>
      <c r="T224" s="214"/>
      <c r="U224" s="214"/>
      <c r="V224" s="214"/>
      <c r="W224" s="214"/>
      <c r="X224" s="214"/>
      <c r="Y224" s="214"/>
      <c r="Z224" s="198"/>
      <c r="AA224" s="198"/>
      <c r="AB224" s="198"/>
      <c r="AC224" s="198"/>
      <c r="AD224" s="199">
        <f>AC224*1.12</f>
        <v>0</v>
      </c>
      <c r="AE224" s="198"/>
      <c r="AF224" s="198">
        <f t="shared" si="269"/>
        <v>0</v>
      </c>
      <c r="AG224" s="198">
        <f t="shared" si="269"/>
        <v>0</v>
      </c>
      <c r="AH224" s="198">
        <f t="shared" si="269"/>
        <v>0</v>
      </c>
      <c r="AI224" s="198"/>
      <c r="AJ224" s="198"/>
      <c r="AK224" s="198"/>
      <c r="AL224" s="198"/>
      <c r="AM224" s="199">
        <f t="shared" si="278"/>
        <v>0</v>
      </c>
      <c r="AN224" s="198"/>
      <c r="AO224" s="199">
        <f>AL224-AI224</f>
        <v>0</v>
      </c>
      <c r="AP224" s="199">
        <f>AO224*1.12</f>
        <v>0</v>
      </c>
      <c r="AQ224" s="199">
        <f t="shared" ref="AQ224" si="280">AN224-AK224</f>
        <v>0</v>
      </c>
      <c r="AR224" s="200" t="str">
        <f t="shared" si="273"/>
        <v/>
      </c>
      <c r="AS224" s="201"/>
      <c r="AT224" s="201"/>
      <c r="AU224" s="201"/>
      <c r="AV224" s="199"/>
      <c r="AW224" s="199">
        <f t="shared" si="276"/>
        <v>0</v>
      </c>
      <c r="AX224" s="199"/>
      <c r="AY224" s="199"/>
      <c r="AZ224" s="199"/>
      <c r="BA224" s="199"/>
      <c r="BB224" s="199"/>
      <c r="BC224" s="199"/>
      <c r="BD224" s="199"/>
      <c r="BE224" s="199"/>
      <c r="BF224" s="199"/>
      <c r="BG224" s="199"/>
      <c r="BH224" s="199"/>
      <c r="BI224" s="199"/>
      <c r="BJ224" s="199"/>
      <c r="BK224" s="199"/>
      <c r="BL224" s="199"/>
      <c r="BM224" s="203"/>
      <c r="BN224" s="203"/>
      <c r="BO224" s="202"/>
      <c r="BP224" s="202"/>
      <c r="BQ224" s="202"/>
      <c r="BR224" s="203"/>
      <c r="BS224" s="203"/>
      <c r="BT224" s="202"/>
      <c r="BW224" s="202"/>
      <c r="BX224" s="205"/>
    </row>
    <row r="225" spans="1:76" s="97" customFormat="1" ht="16.5" hidden="1" customHeight="1" outlineLevel="1" x14ac:dyDescent="0.25">
      <c r="A225" s="416"/>
      <c r="B225" s="429"/>
      <c r="C225" s="117" t="s">
        <v>71</v>
      </c>
      <c r="D225" s="117" t="s">
        <v>72</v>
      </c>
      <c r="E225" s="163"/>
      <c r="F225" s="163"/>
      <c r="G225" s="403"/>
      <c r="H225" s="405"/>
      <c r="I225" s="161"/>
      <c r="J225" s="220"/>
      <c r="K225" s="371"/>
      <c r="L225" s="369"/>
      <c r="M225" s="406"/>
      <c r="N225" s="120">
        <f t="shared" si="268"/>
        <v>0</v>
      </c>
      <c r="O225" s="120">
        <f t="shared" si="268"/>
        <v>0</v>
      </c>
      <c r="P225" s="120">
        <f t="shared" ref="P225:P226" si="281">Q225/1.12</f>
        <v>0</v>
      </c>
      <c r="Q225" s="120">
        <f>Q224</f>
        <v>0</v>
      </c>
      <c r="R225" s="369"/>
      <c r="S225" s="365"/>
      <c r="T225" s="206"/>
      <c r="U225" s="206"/>
      <c r="V225" s="206"/>
      <c r="W225" s="206"/>
      <c r="X225" s="206"/>
      <c r="Y225" s="206"/>
      <c r="Z225" s="119"/>
      <c r="AA225" s="119"/>
      <c r="AB225" s="119"/>
      <c r="AC225" s="119">
        <f>AC226</f>
        <v>0</v>
      </c>
      <c r="AD225" s="118">
        <f>AD226</f>
        <v>0</v>
      </c>
      <c r="AE225" s="119"/>
      <c r="AF225" s="119">
        <f t="shared" si="269"/>
        <v>0</v>
      </c>
      <c r="AG225" s="119">
        <f t="shared" si="269"/>
        <v>0</v>
      </c>
      <c r="AH225" s="119"/>
      <c r="AI225" s="119"/>
      <c r="AJ225" s="119"/>
      <c r="AK225" s="119"/>
      <c r="AL225" s="119"/>
      <c r="AM225" s="118">
        <f t="shared" si="278"/>
        <v>0</v>
      </c>
      <c r="AN225" s="119"/>
      <c r="AO225" s="118">
        <f>AL225-AI225</f>
        <v>0</v>
      </c>
      <c r="AP225" s="118">
        <f>AO225*1.12</f>
        <v>0</v>
      </c>
      <c r="AQ225" s="118"/>
      <c r="AR225" s="121" t="str">
        <f t="shared" si="273"/>
        <v/>
      </c>
      <c r="AS225" s="122"/>
      <c r="AT225" s="122">
        <f>AL225</f>
        <v>0</v>
      </c>
      <c r="AU225" s="122"/>
      <c r="AV225" s="118"/>
      <c r="AW225" s="118">
        <f t="shared" si="276"/>
        <v>0</v>
      </c>
      <c r="AX225" s="118"/>
      <c r="AY225" s="118"/>
      <c r="AZ225" s="118"/>
      <c r="BA225" s="118"/>
      <c r="BB225" s="118"/>
      <c r="BC225" s="118"/>
      <c r="BD225" s="118"/>
      <c r="BE225" s="118"/>
      <c r="BF225" s="118"/>
      <c r="BG225" s="118"/>
      <c r="BH225" s="118"/>
      <c r="BI225" s="118"/>
      <c r="BJ225" s="118"/>
      <c r="BK225" s="118"/>
      <c r="BL225" s="118"/>
      <c r="BM225" s="207"/>
      <c r="BN225" s="207"/>
      <c r="BO225" s="100"/>
      <c r="BP225" s="100"/>
      <c r="BQ225" s="100"/>
      <c r="BR225" s="207"/>
      <c r="BS225" s="207"/>
      <c r="BT225" s="100"/>
      <c r="BU225" s="97">
        <v>11851025.76</v>
      </c>
      <c r="BW225" s="100"/>
      <c r="BX225" s="101"/>
    </row>
    <row r="226" spans="1:76" ht="16.5" hidden="1" customHeight="1" outlineLevel="1" x14ac:dyDescent="0.25">
      <c r="A226" s="416"/>
      <c r="B226" s="429"/>
      <c r="C226" s="124" t="s">
        <v>71</v>
      </c>
      <c r="D226" s="124" t="s">
        <v>73</v>
      </c>
      <c r="E226" s="167"/>
      <c r="F226" s="167"/>
      <c r="G226" s="403"/>
      <c r="H226" s="405"/>
      <c r="I226" s="166"/>
      <c r="J226" s="223"/>
      <c r="K226" s="360"/>
      <c r="L226" s="369"/>
      <c r="M226" s="406"/>
      <c r="N226" s="127">
        <f t="shared" si="268"/>
        <v>0</v>
      </c>
      <c r="O226" s="127">
        <f t="shared" si="268"/>
        <v>0</v>
      </c>
      <c r="P226" s="127">
        <f t="shared" si="281"/>
        <v>0</v>
      </c>
      <c r="Q226" s="127">
        <f>Q225</f>
        <v>0</v>
      </c>
      <c r="R226" s="369"/>
      <c r="S226" s="365"/>
      <c r="T226" s="37"/>
      <c r="U226" s="37"/>
      <c r="V226" s="37"/>
      <c r="W226" s="37"/>
      <c r="X226" s="37"/>
      <c r="Y226" s="37"/>
      <c r="Z226" s="126"/>
      <c r="AA226" s="126"/>
      <c r="AB226" s="126"/>
      <c r="AC226" s="126"/>
      <c r="AD226" s="167">
        <f>AC226*1.12</f>
        <v>0</v>
      </c>
      <c r="AE226" s="126"/>
      <c r="AF226" s="126">
        <f t="shared" si="269"/>
        <v>0</v>
      </c>
      <c r="AG226" s="126">
        <f t="shared" si="269"/>
        <v>0</v>
      </c>
      <c r="AH226" s="126"/>
      <c r="AI226" s="126"/>
      <c r="AJ226" s="126"/>
      <c r="AK226" s="126"/>
      <c r="AL226" s="126">
        <f>AL225</f>
        <v>0</v>
      </c>
      <c r="AM226" s="125">
        <f t="shared" si="278"/>
        <v>0</v>
      </c>
      <c r="AN226" s="126"/>
      <c r="AO226" s="125">
        <f>AO225</f>
        <v>0</v>
      </c>
      <c r="AP226" s="125">
        <f>AP225</f>
        <v>0</v>
      </c>
      <c r="AQ226" s="125"/>
      <c r="AR226" s="128" t="str">
        <f t="shared" si="273"/>
        <v/>
      </c>
      <c r="AS226" s="129"/>
      <c r="AT226" s="129">
        <f>AL226</f>
        <v>0</v>
      </c>
      <c r="AU226" s="129"/>
      <c r="AV226" s="125">
        <f>AV225</f>
        <v>0</v>
      </c>
      <c r="AW226" s="125">
        <f t="shared" si="276"/>
        <v>0</v>
      </c>
      <c r="AX226" s="125"/>
      <c r="AY226" s="125"/>
      <c r="AZ226" s="125"/>
      <c r="BA226" s="125"/>
      <c r="BB226" s="125"/>
      <c r="BC226" s="125"/>
      <c r="BD226" s="125"/>
      <c r="BE226" s="125"/>
      <c r="BF226" s="125"/>
      <c r="BG226" s="125"/>
      <c r="BH226" s="125"/>
      <c r="BI226" s="125"/>
      <c r="BJ226" s="125"/>
      <c r="BK226" s="125"/>
      <c r="BL226" s="125"/>
      <c r="BM226" s="208"/>
      <c r="BN226" s="208"/>
      <c r="BO226" s="25"/>
      <c r="BP226" s="25"/>
      <c r="BQ226" s="25"/>
      <c r="BR226" s="208"/>
      <c r="BS226" s="208"/>
      <c r="BT226" s="25"/>
      <c r="BW226" s="25"/>
      <c r="BX226" s="26"/>
    </row>
    <row r="227" spans="1:76" s="204" customFormat="1" ht="16.5" hidden="1" customHeight="1" outlineLevel="1" x14ac:dyDescent="0.25">
      <c r="A227" s="416"/>
      <c r="B227" s="429"/>
      <c r="C227" s="193" t="s">
        <v>69</v>
      </c>
      <c r="D227" s="193" t="s">
        <v>70</v>
      </c>
      <c r="E227" s="194"/>
      <c r="F227" s="194"/>
      <c r="G227" s="403"/>
      <c r="H227" s="405"/>
      <c r="I227" s="195"/>
      <c r="J227" s="218"/>
      <c r="K227" s="418"/>
      <c r="L227" s="369"/>
      <c r="M227" s="406" t="s">
        <v>96</v>
      </c>
      <c r="N227" s="196">
        <f t="shared" si="268"/>
        <v>0</v>
      </c>
      <c r="O227" s="196">
        <f t="shared" si="268"/>
        <v>0</v>
      </c>
      <c r="P227" s="196">
        <f>Q227/1.12</f>
        <v>0</v>
      </c>
      <c r="Q227" s="196"/>
      <c r="R227" s="369"/>
      <c r="S227" s="365"/>
      <c r="T227" s="214"/>
      <c r="U227" s="214"/>
      <c r="V227" s="214"/>
      <c r="W227" s="214"/>
      <c r="X227" s="214"/>
      <c r="Y227" s="214"/>
      <c r="Z227" s="198"/>
      <c r="AA227" s="198"/>
      <c r="AB227" s="198"/>
      <c r="AC227" s="195"/>
      <c r="AD227" s="199">
        <f t="shared" ref="AD227:AD232" si="282">AC227*1.12</f>
        <v>0</v>
      </c>
      <c r="AE227" s="198"/>
      <c r="AF227" s="198">
        <f t="shared" si="269"/>
        <v>0</v>
      </c>
      <c r="AG227" s="198">
        <f t="shared" si="269"/>
        <v>0</v>
      </c>
      <c r="AH227" s="198">
        <f t="shared" si="269"/>
        <v>0</v>
      </c>
      <c r="AI227" s="198"/>
      <c r="AJ227" s="198"/>
      <c r="AK227" s="198"/>
      <c r="AL227" s="195"/>
      <c r="AM227" s="199">
        <f t="shared" si="278"/>
        <v>0</v>
      </c>
      <c r="AN227" s="198"/>
      <c r="AO227" s="199">
        <f>AL227-AI227</f>
        <v>0</v>
      </c>
      <c r="AP227" s="199">
        <f>AO227*1.12</f>
        <v>0</v>
      </c>
      <c r="AQ227" s="199">
        <f t="shared" ref="AQ227" si="283">AN227-AK227</f>
        <v>0</v>
      </c>
      <c r="AR227" s="200" t="str">
        <f t="shared" si="273"/>
        <v/>
      </c>
      <c r="AS227" s="201"/>
      <c r="AT227" s="201"/>
      <c r="AU227" s="201"/>
      <c r="AV227" s="199"/>
      <c r="AW227" s="199">
        <f t="shared" si="276"/>
        <v>0</v>
      </c>
      <c r="AX227" s="199"/>
      <c r="AY227" s="199"/>
      <c r="AZ227" s="199"/>
      <c r="BA227" s="199"/>
      <c r="BB227" s="199"/>
      <c r="BC227" s="199"/>
      <c r="BD227" s="199"/>
      <c r="BE227" s="199"/>
      <c r="BF227" s="199"/>
      <c r="BG227" s="199"/>
      <c r="BH227" s="199"/>
      <c r="BI227" s="199"/>
      <c r="BJ227" s="199"/>
      <c r="BK227" s="199"/>
      <c r="BL227" s="199"/>
      <c r="BM227" s="203"/>
      <c r="BN227" s="203"/>
      <c r="BO227" s="202"/>
      <c r="BP227" s="202"/>
      <c r="BQ227" s="202"/>
      <c r="BR227" s="203"/>
      <c r="BS227" s="203"/>
      <c r="BT227" s="202"/>
      <c r="BW227" s="202"/>
      <c r="BX227" s="205"/>
    </row>
    <row r="228" spans="1:76" s="97" customFormat="1" ht="16.5" hidden="1" customHeight="1" outlineLevel="1" x14ac:dyDescent="0.25">
      <c r="A228" s="416"/>
      <c r="B228" s="429"/>
      <c r="C228" s="117" t="s">
        <v>71</v>
      </c>
      <c r="D228" s="117" t="s">
        <v>72</v>
      </c>
      <c r="E228" s="163"/>
      <c r="F228" s="163"/>
      <c r="G228" s="403"/>
      <c r="H228" s="405"/>
      <c r="I228" s="161"/>
      <c r="J228" s="220"/>
      <c r="K228" s="418"/>
      <c r="L228" s="369"/>
      <c r="M228" s="406"/>
      <c r="N228" s="120">
        <f t="shared" si="268"/>
        <v>0</v>
      </c>
      <c r="O228" s="120">
        <f t="shared" si="268"/>
        <v>0</v>
      </c>
      <c r="P228" s="120">
        <f t="shared" ref="P228:P229" si="284">Q228/1.12</f>
        <v>0</v>
      </c>
      <c r="Q228" s="120">
        <f>Q227</f>
        <v>0</v>
      </c>
      <c r="R228" s="369"/>
      <c r="S228" s="365"/>
      <c r="T228" s="206"/>
      <c r="U228" s="206"/>
      <c r="V228" s="206"/>
      <c r="W228" s="206"/>
      <c r="X228" s="206"/>
      <c r="Y228" s="206"/>
      <c r="Z228" s="119"/>
      <c r="AA228" s="119"/>
      <c r="AB228" s="119"/>
      <c r="AC228" s="119"/>
      <c r="AD228" s="118">
        <f t="shared" si="282"/>
        <v>0</v>
      </c>
      <c r="AE228" s="119"/>
      <c r="AF228" s="119">
        <f t="shared" si="269"/>
        <v>0</v>
      </c>
      <c r="AG228" s="119">
        <f t="shared" si="269"/>
        <v>0</v>
      </c>
      <c r="AH228" s="119">
        <f t="shared" si="269"/>
        <v>0</v>
      </c>
      <c r="AI228" s="119"/>
      <c r="AJ228" s="119"/>
      <c r="AK228" s="119"/>
      <c r="AL228" s="119"/>
      <c r="AM228" s="118">
        <f t="shared" si="278"/>
        <v>0</v>
      </c>
      <c r="AN228" s="119"/>
      <c r="AO228" s="118">
        <f>AL228-AI228</f>
        <v>0</v>
      </c>
      <c r="AP228" s="118">
        <f>AO228*1.12</f>
        <v>0</v>
      </c>
      <c r="AQ228" s="118"/>
      <c r="AR228" s="121" t="str">
        <f t="shared" si="273"/>
        <v/>
      </c>
      <c r="AS228" s="122"/>
      <c r="AT228" s="122">
        <f>AL228</f>
        <v>0</v>
      </c>
      <c r="AU228" s="122"/>
      <c r="AV228" s="118"/>
      <c r="AW228" s="118">
        <f t="shared" si="276"/>
        <v>0</v>
      </c>
      <c r="AX228" s="118"/>
      <c r="AY228" s="118"/>
      <c r="AZ228" s="118"/>
      <c r="BA228" s="118"/>
      <c r="BB228" s="118"/>
      <c r="BC228" s="118"/>
      <c r="BD228" s="118"/>
      <c r="BE228" s="118"/>
      <c r="BF228" s="118"/>
      <c r="BG228" s="118"/>
      <c r="BH228" s="118"/>
      <c r="BI228" s="118"/>
      <c r="BJ228" s="118"/>
      <c r="BK228" s="118"/>
      <c r="BL228" s="118"/>
      <c r="BM228" s="207"/>
      <c r="BN228" s="207"/>
      <c r="BO228" s="100"/>
      <c r="BP228" s="100"/>
      <c r="BQ228" s="100"/>
      <c r="BR228" s="207"/>
      <c r="BS228" s="207"/>
      <c r="BT228" s="100"/>
      <c r="BU228" s="97">
        <v>17925712.559999999</v>
      </c>
      <c r="BW228" s="100"/>
      <c r="BX228" s="101"/>
    </row>
    <row r="229" spans="1:76" ht="16.5" hidden="1" customHeight="1" outlineLevel="1" x14ac:dyDescent="0.25">
      <c r="A229" s="416"/>
      <c r="B229" s="429"/>
      <c r="C229" s="124" t="s">
        <v>71</v>
      </c>
      <c r="D229" s="124" t="s">
        <v>73</v>
      </c>
      <c r="E229" s="167"/>
      <c r="F229" s="225"/>
      <c r="G229" s="403"/>
      <c r="H229" s="405"/>
      <c r="I229" s="166"/>
      <c r="J229" s="223"/>
      <c r="K229" s="418"/>
      <c r="L229" s="369"/>
      <c r="M229" s="406"/>
      <c r="N229" s="127">
        <f t="shared" si="268"/>
        <v>0</v>
      </c>
      <c r="O229" s="127">
        <f t="shared" si="268"/>
        <v>0</v>
      </c>
      <c r="P229" s="127">
        <f t="shared" si="284"/>
        <v>0</v>
      </c>
      <c r="Q229" s="127">
        <f>Q228</f>
        <v>0</v>
      </c>
      <c r="R229" s="369"/>
      <c r="S229" s="365"/>
      <c r="T229" s="37"/>
      <c r="U229" s="37"/>
      <c r="V229" s="37"/>
      <c r="W229" s="37"/>
      <c r="X229" s="37"/>
      <c r="Y229" s="37"/>
      <c r="Z229" s="126"/>
      <c r="AA229" s="126"/>
      <c r="AB229" s="126"/>
      <c r="AC229" s="126">
        <f>AC228</f>
        <v>0</v>
      </c>
      <c r="AD229" s="125">
        <f t="shared" si="282"/>
        <v>0</v>
      </c>
      <c r="AE229" s="126"/>
      <c r="AF229" s="126">
        <f t="shared" si="269"/>
        <v>0</v>
      </c>
      <c r="AG229" s="126">
        <f t="shared" si="269"/>
        <v>0</v>
      </c>
      <c r="AH229" s="126">
        <f t="shared" si="269"/>
        <v>0</v>
      </c>
      <c r="AI229" s="126"/>
      <c r="AJ229" s="126"/>
      <c r="AK229" s="126"/>
      <c r="AL229" s="126">
        <f>AL228</f>
        <v>0</v>
      </c>
      <c r="AM229" s="125">
        <f t="shared" si="278"/>
        <v>0</v>
      </c>
      <c r="AN229" s="126"/>
      <c r="AO229" s="125">
        <f>AO228</f>
        <v>0</v>
      </c>
      <c r="AP229" s="125">
        <f>AP228</f>
        <v>0</v>
      </c>
      <c r="AQ229" s="125"/>
      <c r="AR229" s="128" t="str">
        <f t="shared" si="273"/>
        <v/>
      </c>
      <c r="AS229" s="129"/>
      <c r="AT229" s="129">
        <f>AL229</f>
        <v>0</v>
      </c>
      <c r="AU229" s="129"/>
      <c r="AV229" s="125">
        <f>AV228</f>
        <v>0</v>
      </c>
      <c r="AW229" s="125">
        <f t="shared" si="276"/>
        <v>0</v>
      </c>
      <c r="AX229" s="125"/>
      <c r="AY229" s="125"/>
      <c r="AZ229" s="125"/>
      <c r="BA229" s="125"/>
      <c r="BB229" s="125"/>
      <c r="BC229" s="125"/>
      <c r="BD229" s="125"/>
      <c r="BE229" s="125"/>
      <c r="BF229" s="125"/>
      <c r="BG229" s="125"/>
      <c r="BH229" s="125"/>
      <c r="BI229" s="125"/>
      <c r="BJ229" s="125"/>
      <c r="BK229" s="125"/>
      <c r="BL229" s="125"/>
      <c r="BM229" s="208"/>
      <c r="BN229" s="208"/>
      <c r="BO229" s="25"/>
      <c r="BP229" s="25"/>
      <c r="BQ229" s="25"/>
      <c r="BR229" s="208"/>
      <c r="BS229" s="208"/>
      <c r="BT229" s="25"/>
      <c r="BW229" s="25"/>
      <c r="BX229" s="26"/>
    </row>
    <row r="230" spans="1:76" s="204" customFormat="1" ht="16.5" hidden="1" customHeight="1" outlineLevel="1" x14ac:dyDescent="0.25">
      <c r="A230" s="416"/>
      <c r="B230" s="429"/>
      <c r="C230" s="193" t="s">
        <v>69</v>
      </c>
      <c r="D230" s="193" t="s">
        <v>70</v>
      </c>
      <c r="E230" s="194"/>
      <c r="F230" s="194"/>
      <c r="G230" s="403"/>
      <c r="H230" s="405"/>
      <c r="I230" s="195"/>
      <c r="J230" s="218"/>
      <c r="K230" s="418"/>
      <c r="L230" s="369"/>
      <c r="M230" s="406" t="s">
        <v>96</v>
      </c>
      <c r="N230" s="196">
        <f t="shared" ref="N230:O232" si="285">P230</f>
        <v>0</v>
      </c>
      <c r="O230" s="196">
        <f t="shared" si="285"/>
        <v>0</v>
      </c>
      <c r="P230" s="196">
        <f>Q230/1.12</f>
        <v>0</v>
      </c>
      <c r="Q230" s="196"/>
      <c r="R230" s="369"/>
      <c r="S230" s="365"/>
      <c r="T230" s="214"/>
      <c r="U230" s="214"/>
      <c r="V230" s="214"/>
      <c r="W230" s="214"/>
      <c r="X230" s="214"/>
      <c r="Y230" s="214"/>
      <c r="Z230" s="198"/>
      <c r="AA230" s="198"/>
      <c r="AB230" s="198"/>
      <c r="AC230" s="195"/>
      <c r="AD230" s="199">
        <f t="shared" si="282"/>
        <v>0</v>
      </c>
      <c r="AE230" s="198"/>
      <c r="AF230" s="198">
        <f t="shared" ref="AF230:AH232" si="286">Z230+AC230</f>
        <v>0</v>
      </c>
      <c r="AG230" s="198">
        <f t="shared" si="286"/>
        <v>0</v>
      </c>
      <c r="AH230" s="198">
        <f t="shared" si="286"/>
        <v>0</v>
      </c>
      <c r="AI230" s="198"/>
      <c r="AJ230" s="198"/>
      <c r="AK230" s="198"/>
      <c r="AL230" s="195"/>
      <c r="AM230" s="199">
        <f t="shared" si="278"/>
        <v>0</v>
      </c>
      <c r="AN230" s="198"/>
      <c r="AO230" s="199">
        <f>AL230-AI230</f>
        <v>0</v>
      </c>
      <c r="AP230" s="199">
        <f>AO230*1.12</f>
        <v>0</v>
      </c>
      <c r="AQ230" s="199">
        <f t="shared" ref="AQ230" si="287">AN230-AK230</f>
        <v>0</v>
      </c>
      <c r="AR230" s="200" t="str">
        <f t="shared" si="273"/>
        <v/>
      </c>
      <c r="AS230" s="201"/>
      <c r="AT230" s="201"/>
      <c r="AU230" s="201"/>
      <c r="AV230" s="199"/>
      <c r="AW230" s="199">
        <f t="shared" si="276"/>
        <v>0</v>
      </c>
      <c r="AX230" s="199"/>
      <c r="AY230" s="199"/>
      <c r="AZ230" s="199"/>
      <c r="BA230" s="199"/>
      <c r="BB230" s="199"/>
      <c r="BC230" s="199"/>
      <c r="BD230" s="199"/>
      <c r="BE230" s="199"/>
      <c r="BF230" s="199"/>
      <c r="BG230" s="199"/>
      <c r="BH230" s="199"/>
      <c r="BI230" s="199"/>
      <c r="BJ230" s="199"/>
      <c r="BK230" s="199"/>
      <c r="BL230" s="199"/>
      <c r="BM230" s="203"/>
      <c r="BN230" s="203"/>
      <c r="BO230" s="202"/>
      <c r="BP230" s="202"/>
      <c r="BQ230" s="202"/>
      <c r="BR230" s="203"/>
      <c r="BS230" s="203"/>
      <c r="BT230" s="202"/>
      <c r="BW230" s="202"/>
      <c r="BX230" s="205"/>
    </row>
    <row r="231" spans="1:76" s="97" customFormat="1" ht="16.5" hidden="1" customHeight="1" outlineLevel="1" x14ac:dyDescent="0.25">
      <c r="A231" s="416"/>
      <c r="B231" s="429"/>
      <c r="C231" s="117" t="s">
        <v>71</v>
      </c>
      <c r="D231" s="117" t="s">
        <v>72</v>
      </c>
      <c r="E231" s="163"/>
      <c r="F231" s="163"/>
      <c r="G231" s="403"/>
      <c r="H231" s="405"/>
      <c r="I231" s="161"/>
      <c r="J231" s="220"/>
      <c r="K231" s="418"/>
      <c r="L231" s="369"/>
      <c r="M231" s="406"/>
      <c r="N231" s="120">
        <f t="shared" si="285"/>
        <v>0</v>
      </c>
      <c r="O231" s="120">
        <f t="shared" si="285"/>
        <v>0</v>
      </c>
      <c r="P231" s="120">
        <f t="shared" ref="P231:P232" si="288">Q231/1.12</f>
        <v>0</v>
      </c>
      <c r="Q231" s="120">
        <f>Q230</f>
        <v>0</v>
      </c>
      <c r="R231" s="369"/>
      <c r="S231" s="365"/>
      <c r="T231" s="206"/>
      <c r="U231" s="206"/>
      <c r="V231" s="206"/>
      <c r="W231" s="206"/>
      <c r="X231" s="206"/>
      <c r="Y231" s="206"/>
      <c r="Z231" s="119"/>
      <c r="AA231" s="119"/>
      <c r="AB231" s="119"/>
      <c r="AC231" s="119"/>
      <c r="AD231" s="118">
        <f t="shared" si="282"/>
        <v>0</v>
      </c>
      <c r="AE231" s="119"/>
      <c r="AF231" s="119">
        <f t="shared" si="286"/>
        <v>0</v>
      </c>
      <c r="AG231" s="119">
        <f t="shared" si="286"/>
        <v>0</v>
      </c>
      <c r="AH231" s="119">
        <f t="shared" si="286"/>
        <v>0</v>
      </c>
      <c r="AI231" s="119"/>
      <c r="AJ231" s="119"/>
      <c r="AK231" s="119"/>
      <c r="AL231" s="119"/>
      <c r="AM231" s="118">
        <f t="shared" si="278"/>
        <v>0</v>
      </c>
      <c r="AN231" s="119"/>
      <c r="AO231" s="118">
        <f>AL231-AI231</f>
        <v>0</v>
      </c>
      <c r="AP231" s="118">
        <f>AO231*1.12</f>
        <v>0</v>
      </c>
      <c r="AQ231" s="118"/>
      <c r="AR231" s="121" t="str">
        <f t="shared" si="273"/>
        <v/>
      </c>
      <c r="AS231" s="122"/>
      <c r="AT231" s="122">
        <f>AL231</f>
        <v>0</v>
      </c>
      <c r="AU231" s="122"/>
      <c r="AV231" s="118"/>
      <c r="AW231" s="118">
        <f t="shared" si="276"/>
        <v>0</v>
      </c>
      <c r="AX231" s="118"/>
      <c r="AY231" s="118"/>
      <c r="AZ231" s="118"/>
      <c r="BA231" s="118"/>
      <c r="BB231" s="118"/>
      <c r="BC231" s="118"/>
      <c r="BD231" s="118"/>
      <c r="BE231" s="118"/>
      <c r="BF231" s="118"/>
      <c r="BG231" s="118"/>
      <c r="BH231" s="118"/>
      <c r="BI231" s="118"/>
      <c r="BJ231" s="118"/>
      <c r="BK231" s="118"/>
      <c r="BL231" s="118"/>
      <c r="BM231" s="207"/>
      <c r="BN231" s="207"/>
      <c r="BO231" s="100"/>
      <c r="BP231" s="100"/>
      <c r="BQ231" s="100"/>
      <c r="BR231" s="207"/>
      <c r="BS231" s="207"/>
      <c r="BT231" s="100"/>
      <c r="BU231" s="97">
        <v>17925712.559999999</v>
      </c>
      <c r="BW231" s="100"/>
      <c r="BX231" s="101"/>
    </row>
    <row r="232" spans="1:76" ht="16.5" hidden="1" customHeight="1" outlineLevel="1" x14ac:dyDescent="0.25">
      <c r="A232" s="356"/>
      <c r="B232" s="430"/>
      <c r="C232" s="124" t="s">
        <v>71</v>
      </c>
      <c r="D232" s="124" t="s">
        <v>73</v>
      </c>
      <c r="E232" s="167"/>
      <c r="F232" s="225"/>
      <c r="G232" s="414"/>
      <c r="H232" s="415"/>
      <c r="I232" s="166"/>
      <c r="J232" s="223"/>
      <c r="K232" s="418"/>
      <c r="L232" s="369"/>
      <c r="M232" s="406"/>
      <c r="N232" s="127">
        <f t="shared" si="285"/>
        <v>0</v>
      </c>
      <c r="O232" s="127">
        <f t="shared" si="285"/>
        <v>0</v>
      </c>
      <c r="P232" s="127">
        <f t="shared" si="288"/>
        <v>0</v>
      </c>
      <c r="Q232" s="127">
        <f>Q231</f>
        <v>0</v>
      </c>
      <c r="R232" s="369"/>
      <c r="S232" s="365"/>
      <c r="T232" s="37"/>
      <c r="U232" s="37"/>
      <c r="V232" s="37"/>
      <c r="W232" s="37"/>
      <c r="X232" s="37"/>
      <c r="Y232" s="37"/>
      <c r="Z232" s="126"/>
      <c r="AA232" s="126"/>
      <c r="AB232" s="126"/>
      <c r="AC232" s="126">
        <f>AC231</f>
        <v>0</v>
      </c>
      <c r="AD232" s="125">
        <f t="shared" si="282"/>
        <v>0</v>
      </c>
      <c r="AE232" s="126"/>
      <c r="AF232" s="126">
        <f t="shared" si="286"/>
        <v>0</v>
      </c>
      <c r="AG232" s="126">
        <f t="shared" si="286"/>
        <v>0</v>
      </c>
      <c r="AH232" s="126">
        <f t="shared" si="286"/>
        <v>0</v>
      </c>
      <c r="AI232" s="126"/>
      <c r="AJ232" s="126"/>
      <c r="AK232" s="126"/>
      <c r="AL232" s="126">
        <f>AL231</f>
        <v>0</v>
      </c>
      <c r="AM232" s="125">
        <f t="shared" si="278"/>
        <v>0</v>
      </c>
      <c r="AN232" s="126"/>
      <c r="AO232" s="125">
        <f>AO231</f>
        <v>0</v>
      </c>
      <c r="AP232" s="125">
        <f>AP231</f>
        <v>0</v>
      </c>
      <c r="AQ232" s="125"/>
      <c r="AR232" s="128" t="str">
        <f t="shared" si="273"/>
        <v/>
      </c>
      <c r="AS232" s="129"/>
      <c r="AT232" s="129">
        <f>AL232</f>
        <v>0</v>
      </c>
      <c r="AU232" s="129"/>
      <c r="AV232" s="125">
        <f>AV231</f>
        <v>0</v>
      </c>
      <c r="AW232" s="125">
        <f t="shared" si="276"/>
        <v>0</v>
      </c>
      <c r="AX232" s="125"/>
      <c r="AY232" s="125"/>
      <c r="AZ232" s="125"/>
      <c r="BA232" s="125"/>
      <c r="BB232" s="125"/>
      <c r="BC232" s="125"/>
      <c r="BD232" s="125"/>
      <c r="BE232" s="125"/>
      <c r="BF232" s="125"/>
      <c r="BG232" s="125"/>
      <c r="BH232" s="125"/>
      <c r="BI232" s="125"/>
      <c r="BJ232" s="125"/>
      <c r="BK232" s="125"/>
      <c r="BL232" s="125"/>
      <c r="BM232" s="208"/>
      <c r="BN232" s="208"/>
      <c r="BO232" s="25"/>
      <c r="BP232" s="25"/>
      <c r="BQ232" s="25"/>
      <c r="BR232" s="208"/>
      <c r="BS232" s="208"/>
      <c r="BT232" s="25"/>
      <c r="BW232" s="25"/>
      <c r="BX232" s="26"/>
    </row>
    <row r="233" spans="1:76" s="189" customFormat="1" ht="16.5" customHeight="1" collapsed="1" x14ac:dyDescent="0.25">
      <c r="A233" s="355"/>
      <c r="B233" s="353" t="s">
        <v>145</v>
      </c>
      <c r="C233" s="180"/>
      <c r="D233" s="180"/>
      <c r="E233" s="182">
        <f>E235+E238</f>
        <v>52955</v>
      </c>
      <c r="F233" s="182">
        <f>F235+F238</f>
        <v>59309.600000000006</v>
      </c>
      <c r="G233" s="191"/>
      <c r="H233" s="182">
        <f>H235+H238</f>
        <v>25</v>
      </c>
      <c r="I233" s="182">
        <f>I235+I238</f>
        <v>52955</v>
      </c>
      <c r="J233" s="182">
        <f>J235+J238</f>
        <v>59309.600000000006</v>
      </c>
      <c r="K233" s="407" t="s">
        <v>146</v>
      </c>
      <c r="L233" s="408"/>
      <c r="M233" s="417" t="s">
        <v>96</v>
      </c>
      <c r="N233" s="238">
        <f t="shared" ref="N233:Q234" si="289">N235+N238</f>
        <v>42060988.133928567</v>
      </c>
      <c r="O233" s="238">
        <f t="shared" si="289"/>
        <v>47108306.710000001</v>
      </c>
      <c r="P233" s="238">
        <f t="shared" si="289"/>
        <v>42060988.133928567</v>
      </c>
      <c r="Q233" s="238">
        <f t="shared" si="289"/>
        <v>47108306.710000001</v>
      </c>
      <c r="R233" s="210"/>
      <c r="S233" s="413">
        <f>S235+S238</f>
        <v>25</v>
      </c>
      <c r="T233" s="182">
        <f>T235+T238</f>
        <v>0</v>
      </c>
      <c r="U233" s="182">
        <f>U235+U238</f>
        <v>0</v>
      </c>
      <c r="V233" s="182">
        <f>V235+V238</f>
        <v>0</v>
      </c>
      <c r="W233" s="182">
        <f t="shared" ref="W233:AQ234" si="290">W235+W238</f>
        <v>0</v>
      </c>
      <c r="X233" s="182">
        <f t="shared" si="290"/>
        <v>0</v>
      </c>
      <c r="Y233" s="182">
        <f t="shared" si="290"/>
        <v>0</v>
      </c>
      <c r="Z233" s="182">
        <f t="shared" si="290"/>
        <v>0</v>
      </c>
      <c r="AA233" s="182">
        <f t="shared" si="290"/>
        <v>0</v>
      </c>
      <c r="AB233" s="182">
        <f t="shared" si="290"/>
        <v>0</v>
      </c>
      <c r="AC233" s="182">
        <f t="shared" si="290"/>
        <v>0</v>
      </c>
      <c r="AD233" s="182">
        <f t="shared" si="290"/>
        <v>0</v>
      </c>
      <c r="AE233" s="182">
        <f t="shared" si="290"/>
        <v>0</v>
      </c>
      <c r="AF233" s="182">
        <f t="shared" si="290"/>
        <v>0</v>
      </c>
      <c r="AG233" s="182">
        <f t="shared" si="290"/>
        <v>0</v>
      </c>
      <c r="AH233" s="182">
        <f t="shared" si="290"/>
        <v>0</v>
      </c>
      <c r="AI233" s="182">
        <f t="shared" si="290"/>
        <v>52955</v>
      </c>
      <c r="AJ233" s="182">
        <f t="shared" si="290"/>
        <v>59309.600000000006</v>
      </c>
      <c r="AK233" s="182">
        <f t="shared" si="290"/>
        <v>25</v>
      </c>
      <c r="AL233" s="182">
        <f t="shared" si="290"/>
        <v>32363</v>
      </c>
      <c r="AM233" s="182">
        <f t="shared" si="290"/>
        <v>36246.560000000005</v>
      </c>
      <c r="AN233" s="182">
        <f t="shared" si="290"/>
        <v>22</v>
      </c>
      <c r="AO233" s="182">
        <f t="shared" si="290"/>
        <v>-20591.999999999996</v>
      </c>
      <c r="AP233" s="182">
        <f t="shared" si="290"/>
        <v>-23063.040000000001</v>
      </c>
      <c r="AQ233" s="182">
        <f t="shared" si="290"/>
        <v>-3</v>
      </c>
      <c r="AR233" s="185">
        <f t="shared" si="273"/>
        <v>0.61114153526579174</v>
      </c>
      <c r="AS233" s="182">
        <f t="shared" ref="AS233:BL234" si="291">AS235+AS238</f>
        <v>0</v>
      </c>
      <c r="AT233" s="182">
        <f t="shared" si="291"/>
        <v>0</v>
      </c>
      <c r="AU233" s="182">
        <f t="shared" si="291"/>
        <v>0</v>
      </c>
      <c r="AV233" s="182">
        <f t="shared" si="291"/>
        <v>0</v>
      </c>
      <c r="AW233" s="182">
        <f t="shared" si="291"/>
        <v>0</v>
      </c>
      <c r="AX233" s="182">
        <f t="shared" si="291"/>
        <v>0</v>
      </c>
      <c r="AY233" s="182">
        <f t="shared" si="291"/>
        <v>0</v>
      </c>
      <c r="AZ233" s="182">
        <f t="shared" si="291"/>
        <v>-14237.399999999996</v>
      </c>
      <c r="BA233" s="182">
        <f t="shared" si="291"/>
        <v>0</v>
      </c>
      <c r="BB233" s="182">
        <f t="shared" si="291"/>
        <v>0</v>
      </c>
      <c r="BC233" s="182">
        <f t="shared" si="291"/>
        <v>0</v>
      </c>
      <c r="BD233" s="182">
        <f t="shared" si="291"/>
        <v>0</v>
      </c>
      <c r="BE233" s="182">
        <f t="shared" si="291"/>
        <v>0</v>
      </c>
      <c r="BF233" s="182">
        <f t="shared" si="291"/>
        <v>0</v>
      </c>
      <c r="BG233" s="182">
        <f t="shared" si="291"/>
        <v>0</v>
      </c>
      <c r="BH233" s="182">
        <f t="shared" si="291"/>
        <v>0</v>
      </c>
      <c r="BI233" s="182">
        <f t="shared" si="291"/>
        <v>0</v>
      </c>
      <c r="BJ233" s="182">
        <f t="shared" si="291"/>
        <v>0</v>
      </c>
      <c r="BK233" s="182">
        <f t="shared" si="291"/>
        <v>0</v>
      </c>
      <c r="BL233" s="182">
        <f t="shared" si="291"/>
        <v>-6354.6</v>
      </c>
      <c r="BM233" s="186" t="s">
        <v>103</v>
      </c>
      <c r="BN233" s="181"/>
      <c r="BO233" s="188" t="e">
        <f>BO235+BO238+#REF!+BO382+BO385+BO388</f>
        <v>#REF!</v>
      </c>
      <c r="BP233" s="188" t="e">
        <f>BP235+BP238+#REF!+BP382+BP385+BP388</f>
        <v>#REF!</v>
      </c>
      <c r="BQ233" s="188" t="e">
        <f>BQ235+BQ238+#REF!+BQ382+BQ385+BQ388</f>
        <v>#REF!</v>
      </c>
      <c r="BR233" s="212"/>
      <c r="BS233" s="212"/>
      <c r="BT233" s="181"/>
      <c r="BW233" s="181"/>
      <c r="BX233" s="190"/>
    </row>
    <row r="234" spans="1:76" s="189" customFormat="1" ht="16.5" customHeight="1" x14ac:dyDescent="0.25">
      <c r="A234" s="416"/>
      <c r="B234" s="375"/>
      <c r="C234" s="180"/>
      <c r="D234" s="180"/>
      <c r="E234" s="182">
        <f>E236+E239</f>
        <v>52955</v>
      </c>
      <c r="F234" s="182">
        <f>F236+F239</f>
        <v>59309.600000000006</v>
      </c>
      <c r="G234" s="191"/>
      <c r="H234" s="209"/>
      <c r="I234" s="182">
        <f>I236+I239</f>
        <v>52955</v>
      </c>
      <c r="J234" s="182">
        <f>J236+J239</f>
        <v>59309.600000000006</v>
      </c>
      <c r="K234" s="409"/>
      <c r="L234" s="410"/>
      <c r="M234" s="417"/>
      <c r="N234" s="238">
        <f t="shared" si="289"/>
        <v>42060988.133928567</v>
      </c>
      <c r="O234" s="238">
        <f t="shared" si="289"/>
        <v>47108306.710000001</v>
      </c>
      <c r="P234" s="238">
        <f t="shared" si="289"/>
        <v>42060988.133928567</v>
      </c>
      <c r="Q234" s="238">
        <f t="shared" si="289"/>
        <v>47108306.710000001</v>
      </c>
      <c r="R234" s="210"/>
      <c r="S234" s="413"/>
      <c r="T234" s="182">
        <f>T236+T239</f>
        <v>0</v>
      </c>
      <c r="U234" s="182">
        <f>U236+U239</f>
        <v>0</v>
      </c>
      <c r="V234" s="192"/>
      <c r="W234" s="182">
        <f t="shared" si="290"/>
        <v>0</v>
      </c>
      <c r="X234" s="182">
        <f t="shared" si="290"/>
        <v>0</v>
      </c>
      <c r="Y234" s="192"/>
      <c r="Z234" s="182">
        <f t="shared" si="290"/>
        <v>0</v>
      </c>
      <c r="AA234" s="182">
        <f t="shared" si="290"/>
        <v>0</v>
      </c>
      <c r="AB234" s="192"/>
      <c r="AC234" s="182">
        <f t="shared" si="290"/>
        <v>0</v>
      </c>
      <c r="AD234" s="182">
        <f t="shared" si="290"/>
        <v>0</v>
      </c>
      <c r="AE234" s="192"/>
      <c r="AF234" s="182">
        <f t="shared" si="290"/>
        <v>0</v>
      </c>
      <c r="AG234" s="182">
        <f t="shared" si="290"/>
        <v>0</v>
      </c>
      <c r="AH234" s="192"/>
      <c r="AI234" s="182">
        <f t="shared" si="290"/>
        <v>52955</v>
      </c>
      <c r="AJ234" s="182">
        <f t="shared" si="290"/>
        <v>59309.600000000006</v>
      </c>
      <c r="AK234" s="192"/>
      <c r="AL234" s="182">
        <f t="shared" si="290"/>
        <v>29320.050973214289</v>
      </c>
      <c r="AM234" s="182">
        <f t="shared" si="290"/>
        <v>32838.457090000004</v>
      </c>
      <c r="AN234" s="192"/>
      <c r="AO234" s="182">
        <f t="shared" si="290"/>
        <v>-23634.949026785711</v>
      </c>
      <c r="AP234" s="182">
        <f t="shared" si="290"/>
        <v>-26471.142909999995</v>
      </c>
      <c r="AQ234" s="192"/>
      <c r="AR234" s="185">
        <f t="shared" si="273"/>
        <v>0.55367861341165692</v>
      </c>
      <c r="AS234" s="182">
        <f t="shared" si="291"/>
        <v>0</v>
      </c>
      <c r="AT234" s="182">
        <f t="shared" si="291"/>
        <v>29320.050973214289</v>
      </c>
      <c r="AU234" s="182">
        <f t="shared" si="291"/>
        <v>0</v>
      </c>
      <c r="AV234" s="182">
        <f t="shared" si="291"/>
        <v>29320.050973214289</v>
      </c>
      <c r="AW234" s="182">
        <f t="shared" si="291"/>
        <v>32838.457090000004</v>
      </c>
      <c r="AX234" s="182">
        <f t="shared" si="291"/>
        <v>0</v>
      </c>
      <c r="AY234" s="182">
        <f t="shared" si="291"/>
        <v>0</v>
      </c>
      <c r="AZ234" s="182">
        <f t="shared" si="291"/>
        <v>0</v>
      </c>
      <c r="BA234" s="182">
        <f t="shared" si="291"/>
        <v>0</v>
      </c>
      <c r="BB234" s="182">
        <f t="shared" si="291"/>
        <v>0</v>
      </c>
      <c r="BC234" s="182">
        <f t="shared" si="291"/>
        <v>0</v>
      </c>
      <c r="BD234" s="182">
        <f t="shared" si="291"/>
        <v>0</v>
      </c>
      <c r="BE234" s="182">
        <f t="shared" si="291"/>
        <v>0</v>
      </c>
      <c r="BF234" s="182">
        <f t="shared" si="291"/>
        <v>0</v>
      </c>
      <c r="BG234" s="182">
        <f t="shared" si="291"/>
        <v>0</v>
      </c>
      <c r="BH234" s="182">
        <f t="shared" si="291"/>
        <v>0</v>
      </c>
      <c r="BI234" s="182">
        <f t="shared" si="291"/>
        <v>0</v>
      </c>
      <c r="BJ234" s="182">
        <f t="shared" si="291"/>
        <v>0</v>
      </c>
      <c r="BK234" s="182">
        <f t="shared" si="291"/>
        <v>0</v>
      </c>
      <c r="BL234" s="182">
        <f t="shared" si="291"/>
        <v>0</v>
      </c>
      <c r="BM234" s="181"/>
      <c r="BN234" s="181"/>
      <c r="BO234" s="188">
        <f>BO236+BO239+BO380+BO383+BO386+BO389</f>
        <v>11865.687809999999</v>
      </c>
      <c r="BP234" s="188">
        <f>BP236+BP239+BP380+BP383+BP386+BP389</f>
        <v>171406.79699999999</v>
      </c>
      <c r="BQ234" s="188">
        <f>BQ236+BQ239+BQ380+BQ383+BQ386+BQ389</f>
        <v>38.474249999999998</v>
      </c>
      <c r="BR234" s="212"/>
      <c r="BS234" s="212"/>
      <c r="BT234" s="181"/>
      <c r="BW234" s="181"/>
      <c r="BX234" s="190"/>
    </row>
    <row r="235" spans="1:76" s="204" customFormat="1" x14ac:dyDescent="0.25">
      <c r="A235" s="416"/>
      <c r="B235" s="375"/>
      <c r="C235" s="193" t="s">
        <v>69</v>
      </c>
      <c r="D235" s="193" t="s">
        <v>70</v>
      </c>
      <c r="E235" s="194">
        <f>I235</f>
        <v>52955</v>
      </c>
      <c r="F235" s="194">
        <f>E235*1.12</f>
        <v>59309.600000000006</v>
      </c>
      <c r="G235" s="402">
        <v>1919</v>
      </c>
      <c r="H235" s="404">
        <v>25</v>
      </c>
      <c r="I235" s="195">
        <v>52955</v>
      </c>
      <c r="J235" s="195">
        <f>I235*1.12</f>
        <v>59309.600000000006</v>
      </c>
      <c r="K235" s="418" t="s">
        <v>124</v>
      </c>
      <c r="L235" s="369" t="s">
        <v>131</v>
      </c>
      <c r="M235" s="406" t="s">
        <v>96</v>
      </c>
      <c r="N235" s="196">
        <f t="shared" ref="N235:O240" si="292">P235</f>
        <v>31966351.133928571</v>
      </c>
      <c r="O235" s="196">
        <f t="shared" si="292"/>
        <v>35802313.270000003</v>
      </c>
      <c r="P235" s="196">
        <f>Q235/1.12</f>
        <v>31966351.133928571</v>
      </c>
      <c r="Q235" s="196">
        <v>35802313.270000003</v>
      </c>
      <c r="R235" s="369" t="s">
        <v>147</v>
      </c>
      <c r="S235" s="365">
        <v>19</v>
      </c>
      <c r="T235" s="214"/>
      <c r="U235" s="214"/>
      <c r="V235" s="214"/>
      <c r="W235" s="214"/>
      <c r="X235" s="214"/>
      <c r="Y235" s="214"/>
      <c r="Z235" s="198"/>
      <c r="AA235" s="198"/>
      <c r="AB235" s="198"/>
      <c r="AC235" s="198"/>
      <c r="AD235" s="199">
        <f t="shared" ref="AD235:AD240" si="293">AC235*1.12</f>
        <v>0</v>
      </c>
      <c r="AE235" s="198"/>
      <c r="AF235" s="198">
        <f t="shared" ref="AF235:AH240" si="294">Z235+AC235</f>
        <v>0</v>
      </c>
      <c r="AG235" s="198">
        <f t="shared" si="294"/>
        <v>0</v>
      </c>
      <c r="AH235" s="198">
        <f t="shared" si="294"/>
        <v>0</v>
      </c>
      <c r="AI235" s="198">
        <f>21182+21182+10591</f>
        <v>52955</v>
      </c>
      <c r="AJ235" s="198">
        <f>AI235*1.12</f>
        <v>59309.600000000006</v>
      </c>
      <c r="AK235" s="198">
        <f>10+10+5</f>
        <v>25</v>
      </c>
      <c r="AL235" s="198">
        <f>9912+13358+5505-1-631</f>
        <v>28143</v>
      </c>
      <c r="AM235" s="199">
        <f t="shared" ref="AM235:AM240" si="295">AL235*1.12</f>
        <v>31520.160000000003</v>
      </c>
      <c r="AN235" s="198">
        <f>6+7+3</f>
        <v>16</v>
      </c>
      <c r="AO235" s="199">
        <f>AL235-$AI$235/$AK$235*AN235+AQ235*$AI$235/$AK$235</f>
        <v>-12102.799999999997</v>
      </c>
      <c r="AP235" s="199">
        <f>AO235*1.12</f>
        <v>-13555.135999999999</v>
      </c>
      <c r="AQ235" s="194">
        <f>AN235-(8+8+3+0)</f>
        <v>-3</v>
      </c>
      <c r="AR235" s="200">
        <f t="shared" si="273"/>
        <v>0.53145123217826451</v>
      </c>
      <c r="AS235" s="201"/>
      <c r="AT235" s="201"/>
      <c r="AU235" s="201"/>
      <c r="AV235" s="199"/>
      <c r="AW235" s="199">
        <f>AV235*1.12</f>
        <v>0</v>
      </c>
      <c r="AX235" s="199"/>
      <c r="AY235" s="199"/>
      <c r="AZ235" s="199">
        <f>AL235-$AI$235/$AK$235*AN235</f>
        <v>-5748.1999999999971</v>
      </c>
      <c r="BA235" s="199"/>
      <c r="BB235" s="199"/>
      <c r="BC235" s="199"/>
      <c r="BD235" s="199"/>
      <c r="BE235" s="199"/>
      <c r="BF235" s="237"/>
      <c r="BG235" s="199"/>
      <c r="BH235" s="199"/>
      <c r="BI235" s="199"/>
      <c r="BJ235" s="199"/>
      <c r="BK235" s="199"/>
      <c r="BL235" s="199">
        <f>AQ235*$AI$235/$AK$235</f>
        <v>-6354.6</v>
      </c>
      <c r="BM235" s="202"/>
      <c r="BN235" s="202"/>
      <c r="BO235" s="202"/>
      <c r="BP235" s="202"/>
      <c r="BQ235" s="202"/>
      <c r="BR235" s="202"/>
      <c r="BS235" s="202"/>
      <c r="BT235" s="202"/>
      <c r="BW235" s="202"/>
      <c r="BX235" s="205"/>
    </row>
    <row r="236" spans="1:76" s="97" customFormat="1" x14ac:dyDescent="0.25">
      <c r="A236" s="416"/>
      <c r="B236" s="375"/>
      <c r="C236" s="117" t="s">
        <v>71</v>
      </c>
      <c r="D236" s="117" t="s">
        <v>72</v>
      </c>
      <c r="E236" s="163">
        <f>E235</f>
        <v>52955</v>
      </c>
      <c r="F236" s="163">
        <f>E236*1.12</f>
        <v>59309.600000000006</v>
      </c>
      <c r="G236" s="403"/>
      <c r="H236" s="405"/>
      <c r="I236" s="161">
        <f>I235</f>
        <v>52955</v>
      </c>
      <c r="J236" s="161">
        <f>I236*1.12</f>
        <v>59309.600000000006</v>
      </c>
      <c r="K236" s="418"/>
      <c r="L236" s="369"/>
      <c r="M236" s="406"/>
      <c r="N236" s="120">
        <f t="shared" si="292"/>
        <v>31966351.133928571</v>
      </c>
      <c r="O236" s="120">
        <f t="shared" si="292"/>
        <v>35802313.270000003</v>
      </c>
      <c r="P236" s="120">
        <f t="shared" ref="P236:P237" si="296">Q236/1.12</f>
        <v>31966351.133928571</v>
      </c>
      <c r="Q236" s="120">
        <f>Q235</f>
        <v>35802313.270000003</v>
      </c>
      <c r="R236" s="369"/>
      <c r="S236" s="365"/>
      <c r="T236" s="206"/>
      <c r="U236" s="206"/>
      <c r="V236" s="206"/>
      <c r="W236" s="206"/>
      <c r="X236" s="206"/>
      <c r="Y236" s="206"/>
      <c r="Z236" s="119"/>
      <c r="AA236" s="119"/>
      <c r="AB236" s="119"/>
      <c r="AC236" s="119"/>
      <c r="AD236" s="118">
        <f t="shared" si="293"/>
        <v>0</v>
      </c>
      <c r="AE236" s="119"/>
      <c r="AF236" s="119">
        <f t="shared" si="294"/>
        <v>0</v>
      </c>
      <c r="AG236" s="119">
        <f t="shared" si="294"/>
        <v>0</v>
      </c>
      <c r="AH236" s="119"/>
      <c r="AI236" s="119">
        <f>21182+21182+10591</f>
        <v>52955</v>
      </c>
      <c r="AJ236" s="119">
        <f>AI236*1.12</f>
        <v>59309.600000000006</v>
      </c>
      <c r="AK236" s="119"/>
      <c r="AL236" s="119">
        <f>10704.88124/1.12+13135.26058/1.12+5109.78996/1.12</f>
        <v>25848.153375000002</v>
      </c>
      <c r="AM236" s="118">
        <f t="shared" si="295"/>
        <v>28949.931780000006</v>
      </c>
      <c r="AN236" s="119"/>
      <c r="AO236" s="118">
        <f>AL236-$AI$236/$AK$235*AN235+AQ235*$AI$236/$AK$235</f>
        <v>-14397.646624999996</v>
      </c>
      <c r="AP236" s="118">
        <f>AO236*1.12</f>
        <v>-16125.364219999998</v>
      </c>
      <c r="AQ236" s="118"/>
      <c r="AR236" s="121">
        <f t="shared" si="273"/>
        <v>0.48811544471721274</v>
      </c>
      <c r="AS236" s="122"/>
      <c r="AT236" s="122">
        <f>AL236</f>
        <v>25848.153375000002</v>
      </c>
      <c r="AU236" s="122"/>
      <c r="AV236" s="118">
        <f>AL236</f>
        <v>25848.153375000002</v>
      </c>
      <c r="AW236" s="118">
        <f t="shared" ref="AW236:AW237" si="297">AV236*1.12</f>
        <v>28949.931780000006</v>
      </c>
      <c r="AX236" s="118"/>
      <c r="AY236" s="118"/>
      <c r="AZ236" s="118"/>
      <c r="BA236" s="118"/>
      <c r="BB236" s="118"/>
      <c r="BC236" s="118"/>
      <c r="BD236" s="118"/>
      <c r="BE236" s="118"/>
      <c r="BF236" s="118"/>
      <c r="BG236" s="118"/>
      <c r="BH236" s="118"/>
      <c r="BI236" s="118"/>
      <c r="BJ236" s="118"/>
      <c r="BK236" s="118"/>
      <c r="BL236" s="118"/>
      <c r="BM236" s="100"/>
      <c r="BN236" s="100"/>
      <c r="BO236" s="100"/>
      <c r="BP236" s="100"/>
      <c r="BQ236" s="100"/>
      <c r="BR236" s="100"/>
      <c r="BS236" s="100"/>
      <c r="BT236" s="100"/>
      <c r="BU236" s="97">
        <v>11562480</v>
      </c>
      <c r="BW236" s="100"/>
      <c r="BX236" s="101"/>
    </row>
    <row r="237" spans="1:76" x14ac:dyDescent="0.25">
      <c r="A237" s="416"/>
      <c r="B237" s="375"/>
      <c r="C237" s="124" t="s">
        <v>71</v>
      </c>
      <c r="D237" s="124" t="s">
        <v>73</v>
      </c>
      <c r="E237" s="167">
        <f>E236</f>
        <v>52955</v>
      </c>
      <c r="F237" s="167">
        <f>F236</f>
        <v>59309.600000000006</v>
      </c>
      <c r="G237" s="403"/>
      <c r="H237" s="405"/>
      <c r="I237" s="166">
        <f>I236</f>
        <v>52955</v>
      </c>
      <c r="J237" s="166">
        <f>J236</f>
        <v>59309.600000000006</v>
      </c>
      <c r="K237" s="418"/>
      <c r="L237" s="369"/>
      <c r="M237" s="406"/>
      <c r="N237" s="127">
        <f t="shared" si="292"/>
        <v>31966351.133928571</v>
      </c>
      <c r="O237" s="127">
        <f t="shared" si="292"/>
        <v>35802313.270000003</v>
      </c>
      <c r="P237" s="127">
        <f t="shared" si="296"/>
        <v>31966351.133928571</v>
      </c>
      <c r="Q237" s="127">
        <f>Q236</f>
        <v>35802313.270000003</v>
      </c>
      <c r="R237" s="369"/>
      <c r="S237" s="365"/>
      <c r="T237" s="37"/>
      <c r="U237" s="37"/>
      <c r="V237" s="37"/>
      <c r="W237" s="37"/>
      <c r="X237" s="37"/>
      <c r="Y237" s="37"/>
      <c r="Z237" s="126"/>
      <c r="AA237" s="126"/>
      <c r="AB237" s="126"/>
      <c r="AC237" s="126">
        <f>AC236</f>
        <v>0</v>
      </c>
      <c r="AD237" s="125">
        <f t="shared" si="293"/>
        <v>0</v>
      </c>
      <c r="AE237" s="126"/>
      <c r="AF237" s="126">
        <f t="shared" si="294"/>
        <v>0</v>
      </c>
      <c r="AG237" s="126">
        <f t="shared" si="294"/>
        <v>0</v>
      </c>
      <c r="AH237" s="126"/>
      <c r="AI237" s="126">
        <f>AI236</f>
        <v>52955</v>
      </c>
      <c r="AJ237" s="126">
        <f>AJ236</f>
        <v>59309.600000000006</v>
      </c>
      <c r="AK237" s="126"/>
      <c r="AL237" s="126">
        <f>AL236</f>
        <v>25848.153375000002</v>
      </c>
      <c r="AM237" s="125">
        <f t="shared" si="295"/>
        <v>28949.931780000006</v>
      </c>
      <c r="AN237" s="126"/>
      <c r="AO237" s="125">
        <f>AO236</f>
        <v>-14397.646624999996</v>
      </c>
      <c r="AP237" s="125">
        <f>AP236</f>
        <v>-16125.364219999998</v>
      </c>
      <c r="AQ237" s="125"/>
      <c r="AR237" s="128">
        <f t="shared" si="273"/>
        <v>0.48811544471721274</v>
      </c>
      <c r="AS237" s="129"/>
      <c r="AT237" s="129">
        <f>AL237</f>
        <v>25848.153375000002</v>
      </c>
      <c r="AU237" s="129"/>
      <c r="AV237" s="125">
        <f>AL237</f>
        <v>25848.153375000002</v>
      </c>
      <c r="AW237" s="125">
        <f t="shared" si="297"/>
        <v>28949.931780000006</v>
      </c>
      <c r="AX237" s="125"/>
      <c r="AY237" s="125"/>
      <c r="AZ237" s="125"/>
      <c r="BA237" s="125"/>
      <c r="BB237" s="125"/>
      <c r="BC237" s="125"/>
      <c r="BD237" s="125"/>
      <c r="BE237" s="125"/>
      <c r="BF237" s="125"/>
      <c r="BG237" s="125"/>
      <c r="BH237" s="125"/>
      <c r="BI237" s="125"/>
      <c r="BJ237" s="125"/>
      <c r="BK237" s="125"/>
      <c r="BL237" s="125"/>
      <c r="BM237" s="25"/>
      <c r="BN237" s="25"/>
      <c r="BO237" s="25"/>
      <c r="BP237" s="25"/>
      <c r="BQ237" s="25"/>
      <c r="BR237" s="25"/>
      <c r="BS237" s="25"/>
      <c r="BT237" s="25"/>
      <c r="BW237" s="25"/>
      <c r="BX237" s="26"/>
    </row>
    <row r="238" spans="1:76" s="204" customFormat="1" x14ac:dyDescent="0.25">
      <c r="A238" s="416"/>
      <c r="B238" s="375"/>
      <c r="C238" s="193" t="s">
        <v>69</v>
      </c>
      <c r="D238" s="193" t="s">
        <v>70</v>
      </c>
      <c r="E238" s="194"/>
      <c r="F238" s="194"/>
      <c r="G238" s="403"/>
      <c r="H238" s="405"/>
      <c r="I238" s="195"/>
      <c r="J238" s="195"/>
      <c r="K238" s="382" t="s">
        <v>111</v>
      </c>
      <c r="L238" s="379" t="s">
        <v>137</v>
      </c>
      <c r="M238" s="406" t="s">
        <v>96</v>
      </c>
      <c r="N238" s="196">
        <f t="shared" si="292"/>
        <v>10094636.999999998</v>
      </c>
      <c r="O238" s="196">
        <f t="shared" si="292"/>
        <v>11305993.439999999</v>
      </c>
      <c r="P238" s="196">
        <f>Q238/1.12</f>
        <v>10094636.999999998</v>
      </c>
      <c r="Q238" s="196">
        <v>11305993.439999999</v>
      </c>
      <c r="R238" s="369" t="s">
        <v>147</v>
      </c>
      <c r="S238" s="365">
        <v>6</v>
      </c>
      <c r="T238" s="214"/>
      <c r="U238" s="214"/>
      <c r="V238" s="214"/>
      <c r="W238" s="214"/>
      <c r="X238" s="214"/>
      <c r="Y238" s="214"/>
      <c r="Z238" s="198"/>
      <c r="AA238" s="198"/>
      <c r="AB238" s="198"/>
      <c r="AC238" s="198"/>
      <c r="AD238" s="199">
        <f t="shared" si="293"/>
        <v>0</v>
      </c>
      <c r="AE238" s="198"/>
      <c r="AF238" s="198">
        <f t="shared" si="294"/>
        <v>0</v>
      </c>
      <c r="AG238" s="198">
        <f t="shared" si="294"/>
        <v>0</v>
      </c>
      <c r="AH238" s="198">
        <f t="shared" si="294"/>
        <v>0</v>
      </c>
      <c r="AI238" s="198"/>
      <c r="AJ238" s="198"/>
      <c r="AK238" s="198"/>
      <c r="AL238" s="198">
        <f>2537+1684-1</f>
        <v>4220</v>
      </c>
      <c r="AM238" s="199">
        <f t="shared" si="295"/>
        <v>4726.4000000000005</v>
      </c>
      <c r="AN238" s="198">
        <f>4+2</f>
        <v>6</v>
      </c>
      <c r="AO238" s="199">
        <f>AL238-$AI$235/$AK$235*AN238+AQ238*$AI$235/$AK$235</f>
        <v>-8489.1999999999989</v>
      </c>
      <c r="AP238" s="199">
        <f>AO238*1.12</f>
        <v>-9507.9040000000005</v>
      </c>
      <c r="AQ238" s="199">
        <f>AN238-(2+2+2+0)</f>
        <v>0</v>
      </c>
      <c r="AR238" s="200" t="str">
        <f t="shared" si="273"/>
        <v/>
      </c>
      <c r="AS238" s="201"/>
      <c r="AT238" s="201"/>
      <c r="AU238" s="201"/>
      <c r="AV238" s="199"/>
      <c r="AW238" s="199">
        <f>AV238*1.12</f>
        <v>0</v>
      </c>
      <c r="AX238" s="199"/>
      <c r="AY238" s="199"/>
      <c r="AZ238" s="199">
        <f>AL238-$AI$235/$AK$235*AN238</f>
        <v>-8489.1999999999989</v>
      </c>
      <c r="BA238" s="199"/>
      <c r="BB238" s="199"/>
      <c r="BC238" s="199"/>
      <c r="BD238" s="199"/>
      <c r="BE238" s="199"/>
      <c r="BF238" s="237"/>
      <c r="BG238" s="199"/>
      <c r="BH238" s="199"/>
      <c r="BI238" s="199"/>
      <c r="BJ238" s="199"/>
      <c r="BK238" s="199"/>
      <c r="BL238" s="199">
        <f>AQ238*$AI$235/$AK$235</f>
        <v>0</v>
      </c>
      <c r="BM238" s="202"/>
      <c r="BN238" s="202"/>
      <c r="BO238" s="202"/>
      <c r="BP238" s="202"/>
      <c r="BQ238" s="202"/>
      <c r="BR238" s="202"/>
      <c r="BS238" s="202"/>
      <c r="BT238" s="202"/>
      <c r="BW238" s="202"/>
      <c r="BX238" s="205"/>
    </row>
    <row r="239" spans="1:76" s="97" customFormat="1" x14ac:dyDescent="0.25">
      <c r="A239" s="416"/>
      <c r="B239" s="375"/>
      <c r="C239" s="117" t="s">
        <v>71</v>
      </c>
      <c r="D239" s="117" t="s">
        <v>72</v>
      </c>
      <c r="E239" s="163"/>
      <c r="F239" s="163"/>
      <c r="G239" s="403"/>
      <c r="H239" s="405"/>
      <c r="I239" s="161"/>
      <c r="J239" s="161"/>
      <c r="K239" s="383"/>
      <c r="L239" s="380"/>
      <c r="M239" s="406"/>
      <c r="N239" s="120">
        <f t="shared" si="292"/>
        <v>10094636.999999998</v>
      </c>
      <c r="O239" s="120">
        <f t="shared" si="292"/>
        <v>11305993.439999999</v>
      </c>
      <c r="P239" s="120">
        <f t="shared" ref="P239:P240" si="298">Q239/1.12</f>
        <v>10094636.999999998</v>
      </c>
      <c r="Q239" s="120">
        <f>Q238</f>
        <v>11305993.439999999</v>
      </c>
      <c r="R239" s="369"/>
      <c r="S239" s="365"/>
      <c r="T239" s="206"/>
      <c r="U239" s="206"/>
      <c r="V239" s="206"/>
      <c r="W239" s="206"/>
      <c r="X239" s="206"/>
      <c r="Y239" s="206"/>
      <c r="Z239" s="119"/>
      <c r="AA239" s="119"/>
      <c r="AB239" s="119"/>
      <c r="AC239" s="119"/>
      <c r="AD239" s="118">
        <f t="shared" si="293"/>
        <v>0</v>
      </c>
      <c r="AE239" s="119"/>
      <c r="AF239" s="119">
        <f t="shared" si="294"/>
        <v>0</v>
      </c>
      <c r="AG239" s="119">
        <f t="shared" si="294"/>
        <v>0</v>
      </c>
      <c r="AH239" s="119"/>
      <c r="AI239" s="119"/>
      <c r="AJ239" s="119">
        <f>AI239*1.12</f>
        <v>0</v>
      </c>
      <c r="AK239" s="119"/>
      <c r="AL239" s="119">
        <f>2810.62118/1.12+1077.90413/1.12</f>
        <v>3471.8975982142856</v>
      </c>
      <c r="AM239" s="118">
        <f t="shared" si="295"/>
        <v>3888.5253100000004</v>
      </c>
      <c r="AN239" s="119"/>
      <c r="AO239" s="118">
        <f>AL239-$AI$236/$AK$235*AN238+AQ238*$AI$236/$AK$235</f>
        <v>-9237.3024017857133</v>
      </c>
      <c r="AP239" s="118">
        <f>AO239*1.12</f>
        <v>-10345.778689999999</v>
      </c>
      <c r="AQ239" s="118"/>
      <c r="AR239" s="121" t="str">
        <f t="shared" si="273"/>
        <v/>
      </c>
      <c r="AS239" s="122"/>
      <c r="AT239" s="122">
        <f>AL239</f>
        <v>3471.8975982142856</v>
      </c>
      <c r="AU239" s="122"/>
      <c r="AV239" s="118">
        <f>AL239</f>
        <v>3471.8975982142856</v>
      </c>
      <c r="AW239" s="118">
        <f t="shared" ref="AW239:AW240" si="299">AV239*1.12</f>
        <v>3888.5253100000004</v>
      </c>
      <c r="AX239" s="118"/>
      <c r="AY239" s="118"/>
      <c r="AZ239" s="118"/>
      <c r="BA239" s="118"/>
      <c r="BB239" s="118"/>
      <c r="BC239" s="118"/>
      <c r="BD239" s="118"/>
      <c r="BE239" s="118"/>
      <c r="BF239" s="118"/>
      <c r="BG239" s="118"/>
      <c r="BH239" s="118"/>
      <c r="BI239" s="118"/>
      <c r="BJ239" s="118"/>
      <c r="BK239" s="118"/>
      <c r="BL239" s="118"/>
      <c r="BM239" s="100"/>
      <c r="BN239" s="100"/>
      <c r="BO239" s="100"/>
      <c r="BP239" s="100"/>
      <c r="BQ239" s="100"/>
      <c r="BR239" s="100"/>
      <c r="BS239" s="100"/>
      <c r="BT239" s="100"/>
      <c r="BU239" s="97">
        <v>11562480</v>
      </c>
      <c r="BW239" s="100"/>
      <c r="BX239" s="101"/>
    </row>
    <row r="240" spans="1:76" x14ac:dyDescent="0.25">
      <c r="A240" s="356"/>
      <c r="B240" s="354"/>
      <c r="C240" s="124" t="s">
        <v>71</v>
      </c>
      <c r="D240" s="124" t="s">
        <v>73</v>
      </c>
      <c r="E240" s="167"/>
      <c r="F240" s="167"/>
      <c r="G240" s="414"/>
      <c r="H240" s="415"/>
      <c r="I240" s="166"/>
      <c r="J240" s="166"/>
      <c r="K240" s="384"/>
      <c r="L240" s="381"/>
      <c r="M240" s="406"/>
      <c r="N240" s="127">
        <f t="shared" si="292"/>
        <v>10094636.999999998</v>
      </c>
      <c r="O240" s="127">
        <f t="shared" si="292"/>
        <v>11305993.439999999</v>
      </c>
      <c r="P240" s="127">
        <f t="shared" si="298"/>
        <v>10094636.999999998</v>
      </c>
      <c r="Q240" s="127">
        <f>Q239</f>
        <v>11305993.439999999</v>
      </c>
      <c r="R240" s="369"/>
      <c r="S240" s="365"/>
      <c r="T240" s="37"/>
      <c r="U240" s="37"/>
      <c r="V240" s="37"/>
      <c r="W240" s="37"/>
      <c r="X240" s="37"/>
      <c r="Y240" s="37"/>
      <c r="Z240" s="126"/>
      <c r="AA240" s="126"/>
      <c r="AB240" s="126"/>
      <c r="AC240" s="126">
        <f>AC239</f>
        <v>0</v>
      </c>
      <c r="AD240" s="125">
        <f t="shared" si="293"/>
        <v>0</v>
      </c>
      <c r="AE240" s="126"/>
      <c r="AF240" s="126">
        <f t="shared" si="294"/>
        <v>0</v>
      </c>
      <c r="AG240" s="126">
        <f t="shared" si="294"/>
        <v>0</v>
      </c>
      <c r="AH240" s="126"/>
      <c r="AI240" s="126">
        <f>AI239</f>
        <v>0</v>
      </c>
      <c r="AJ240" s="126">
        <f>AJ239</f>
        <v>0</v>
      </c>
      <c r="AK240" s="126"/>
      <c r="AL240" s="126">
        <f>AL239</f>
        <v>3471.8975982142856</v>
      </c>
      <c r="AM240" s="125">
        <f t="shared" si="295"/>
        <v>3888.5253100000004</v>
      </c>
      <c r="AN240" s="126"/>
      <c r="AO240" s="125">
        <f>AO239</f>
        <v>-9237.3024017857133</v>
      </c>
      <c r="AP240" s="125">
        <f>AP239</f>
        <v>-10345.778689999999</v>
      </c>
      <c r="AQ240" s="125"/>
      <c r="AR240" s="128" t="str">
        <f t="shared" si="273"/>
        <v/>
      </c>
      <c r="AS240" s="129"/>
      <c r="AT240" s="129">
        <f>AL240</f>
        <v>3471.8975982142856</v>
      </c>
      <c r="AU240" s="129"/>
      <c r="AV240" s="125">
        <f>AL240</f>
        <v>3471.8975982142856</v>
      </c>
      <c r="AW240" s="125">
        <f t="shared" si="299"/>
        <v>3888.5253100000004</v>
      </c>
      <c r="AX240" s="125"/>
      <c r="AY240" s="125"/>
      <c r="AZ240" s="125"/>
      <c r="BA240" s="125"/>
      <c r="BB240" s="125"/>
      <c r="BC240" s="125"/>
      <c r="BD240" s="125"/>
      <c r="BE240" s="125"/>
      <c r="BF240" s="125"/>
      <c r="BG240" s="125"/>
      <c r="BH240" s="125"/>
      <c r="BI240" s="125"/>
      <c r="BJ240" s="125"/>
      <c r="BK240" s="125"/>
      <c r="BL240" s="125"/>
      <c r="BM240" s="25"/>
      <c r="BN240" s="25"/>
      <c r="BO240" s="25"/>
      <c r="BP240" s="25"/>
      <c r="BQ240" s="25"/>
      <c r="BR240" s="25"/>
      <c r="BS240" s="25"/>
      <c r="BT240" s="25"/>
      <c r="BW240" s="25"/>
      <c r="BX240" s="26"/>
    </row>
    <row r="241" spans="1:76" s="189" customFormat="1" x14ac:dyDescent="0.25">
      <c r="A241" s="355">
        <v>4</v>
      </c>
      <c r="B241" s="353" t="s">
        <v>148</v>
      </c>
      <c r="C241" s="180"/>
      <c r="D241" s="180"/>
      <c r="E241" s="182">
        <f>E243+E246+E249+E252+E255+E258</f>
        <v>145049</v>
      </c>
      <c r="F241" s="182">
        <f>F243+F246+F249+F252+F255+F258</f>
        <v>162454.88</v>
      </c>
      <c r="G241" s="191"/>
      <c r="H241" s="209">
        <f>H243</f>
        <v>66</v>
      </c>
      <c r="I241" s="182">
        <f>I243+I246+I249+I252+I255+I258</f>
        <v>145049</v>
      </c>
      <c r="J241" s="182">
        <f>J243+J246+J249+J252+J255+J258</f>
        <v>162454.88</v>
      </c>
      <c r="K241" s="407" t="s">
        <v>149</v>
      </c>
      <c r="L241" s="408"/>
      <c r="M241" s="417" t="s">
        <v>96</v>
      </c>
      <c r="N241" s="183">
        <f t="shared" ref="N241:Q242" si="300">N243+N246+N249+N252+N255+N258</f>
        <v>116027813.70535713</v>
      </c>
      <c r="O241" s="233">
        <f t="shared" si="300"/>
        <v>129951151.34999999</v>
      </c>
      <c r="P241" s="183">
        <f t="shared" si="300"/>
        <v>116027813.70535713</v>
      </c>
      <c r="Q241" s="234">
        <f t="shared" si="300"/>
        <v>129951151.34999999</v>
      </c>
      <c r="R241" s="210"/>
      <c r="S241" s="413">
        <f>S243+S246+S249+S252+S255+S258</f>
        <v>66</v>
      </c>
      <c r="T241" s="192">
        <f>T243+T246+T249+T252+T255+T258</f>
        <v>0</v>
      </c>
      <c r="U241" s="192">
        <f t="shared" ref="U241:AH242" si="301">U243+U246+U249+U252+U255+U258</f>
        <v>0</v>
      </c>
      <c r="V241" s="192">
        <f t="shared" si="301"/>
        <v>0</v>
      </c>
      <c r="W241" s="192">
        <f t="shared" si="301"/>
        <v>0</v>
      </c>
      <c r="X241" s="192">
        <f t="shared" si="301"/>
        <v>0</v>
      </c>
      <c r="Y241" s="192">
        <f t="shared" si="301"/>
        <v>0</v>
      </c>
      <c r="Z241" s="192">
        <f t="shared" si="301"/>
        <v>0</v>
      </c>
      <c r="AA241" s="192">
        <f t="shared" si="301"/>
        <v>0</v>
      </c>
      <c r="AB241" s="192">
        <f t="shared" si="301"/>
        <v>0</v>
      </c>
      <c r="AC241" s="192">
        <f t="shared" si="301"/>
        <v>0</v>
      </c>
      <c r="AD241" s="192">
        <f t="shared" si="301"/>
        <v>0</v>
      </c>
      <c r="AE241" s="192">
        <f t="shared" si="301"/>
        <v>0</v>
      </c>
      <c r="AF241" s="192">
        <f t="shared" si="301"/>
        <v>0</v>
      </c>
      <c r="AG241" s="192">
        <f t="shared" si="301"/>
        <v>0</v>
      </c>
      <c r="AH241" s="192">
        <f t="shared" si="301"/>
        <v>0</v>
      </c>
      <c r="AI241" s="192">
        <f>AI243+AI246+AI249+AI252+AI255+AI258</f>
        <v>145049</v>
      </c>
      <c r="AJ241" s="192">
        <f t="shared" ref="AJ241:AM242" si="302">AJ243+AJ246+AJ249+AJ252+AJ255+AJ258</f>
        <v>162454.88</v>
      </c>
      <c r="AK241" s="192">
        <f t="shared" si="302"/>
        <v>66</v>
      </c>
      <c r="AL241" s="192">
        <f t="shared" si="302"/>
        <v>75582</v>
      </c>
      <c r="AM241" s="188">
        <f t="shared" si="302"/>
        <v>84651.840000000011</v>
      </c>
      <c r="AN241" s="192">
        <f>AN243+AN246+AN249+AN252+AN255+AN258</f>
        <v>66</v>
      </c>
      <c r="AO241" s="188">
        <f>AL241-AI241</f>
        <v>-69467</v>
      </c>
      <c r="AP241" s="188">
        <f t="shared" ref="AP241:AP242" si="303">AM241-AJ241</f>
        <v>-77803.039999999994</v>
      </c>
      <c r="AQ241" s="188">
        <f t="shared" ref="AQ241" si="304">AQ243+AQ246+AQ249+AQ252+AQ255+AQ258</f>
        <v>0</v>
      </c>
      <c r="AR241" s="185">
        <f t="shared" si="273"/>
        <v>0.52107908362001809</v>
      </c>
      <c r="AS241" s="211">
        <f t="shared" ref="AS241:BH242" si="305">AS243+AS246+AS249+AS252+AS255+AS258</f>
        <v>0</v>
      </c>
      <c r="AT241" s="211">
        <f t="shared" si="305"/>
        <v>0</v>
      </c>
      <c r="AU241" s="211">
        <f t="shared" si="305"/>
        <v>0</v>
      </c>
      <c r="AV241" s="188">
        <f t="shared" si="305"/>
        <v>145049</v>
      </c>
      <c r="AW241" s="188">
        <f t="shared" si="305"/>
        <v>162454.88</v>
      </c>
      <c r="AX241" s="188">
        <f t="shared" si="305"/>
        <v>66</v>
      </c>
      <c r="AY241" s="188">
        <f t="shared" si="305"/>
        <v>0</v>
      </c>
      <c r="AZ241" s="188">
        <f t="shared" si="305"/>
        <v>-69466.999999999985</v>
      </c>
      <c r="BA241" s="188">
        <f t="shared" si="305"/>
        <v>0</v>
      </c>
      <c r="BB241" s="188">
        <f t="shared" si="305"/>
        <v>0</v>
      </c>
      <c r="BC241" s="188">
        <f t="shared" si="305"/>
        <v>0</v>
      </c>
      <c r="BD241" s="188">
        <f t="shared" si="305"/>
        <v>0</v>
      </c>
      <c r="BE241" s="188">
        <f t="shared" si="305"/>
        <v>0</v>
      </c>
      <c r="BF241" s="188">
        <f t="shared" si="305"/>
        <v>0</v>
      </c>
      <c r="BG241" s="188">
        <f t="shared" si="305"/>
        <v>0</v>
      </c>
      <c r="BH241" s="188">
        <f t="shared" si="305"/>
        <v>0</v>
      </c>
      <c r="BI241" s="188">
        <f>BI243+BI246+BI249+BI252+BI255+BI258</f>
        <v>0</v>
      </c>
      <c r="BJ241" s="188">
        <f t="shared" ref="BJ241:BL241" si="306">BJ243+BJ246+BJ249+BJ252+BJ255+BJ258</f>
        <v>0</v>
      </c>
      <c r="BK241" s="188">
        <f t="shared" si="306"/>
        <v>0</v>
      </c>
      <c r="BL241" s="188">
        <f t="shared" si="306"/>
        <v>0</v>
      </c>
      <c r="BM241" s="186" t="s">
        <v>103</v>
      </c>
      <c r="BN241" s="181"/>
      <c r="BO241" s="188">
        <f t="shared" ref="BO241:BQ242" si="307">BO243+BO246+BO249+BO252+BO255+BO258</f>
        <v>0</v>
      </c>
      <c r="BP241" s="188">
        <f t="shared" si="307"/>
        <v>0</v>
      </c>
      <c r="BQ241" s="188">
        <f t="shared" si="307"/>
        <v>0</v>
      </c>
      <c r="BR241" s="212"/>
      <c r="BS241" s="212"/>
      <c r="BT241" s="181"/>
      <c r="BW241" s="181"/>
      <c r="BX241" s="190"/>
    </row>
    <row r="242" spans="1:76" s="189" customFormat="1" x14ac:dyDescent="0.25">
      <c r="A242" s="416"/>
      <c r="B242" s="375"/>
      <c r="C242" s="180"/>
      <c r="D242" s="180"/>
      <c r="E242" s="182">
        <f>E244+E247+E250+E253+E256+E259</f>
        <v>145049</v>
      </c>
      <c r="F242" s="182">
        <f>F244+F247+F250+F253+F256+F259</f>
        <v>162454.88</v>
      </c>
      <c r="G242" s="191"/>
      <c r="H242" s="209"/>
      <c r="I242" s="182">
        <f>I244+I247+I250+I253+I256+I259</f>
        <v>145049</v>
      </c>
      <c r="J242" s="182">
        <f>J244+J247+J250+J253+J256+J259</f>
        <v>162454.88</v>
      </c>
      <c r="K242" s="409"/>
      <c r="L242" s="410"/>
      <c r="M242" s="417"/>
      <c r="N242" s="183">
        <f t="shared" si="300"/>
        <v>116027813.70535713</v>
      </c>
      <c r="O242" s="233">
        <f t="shared" si="300"/>
        <v>129951151.34999999</v>
      </c>
      <c r="P242" s="183">
        <f t="shared" si="300"/>
        <v>116027813.70535713</v>
      </c>
      <c r="Q242" s="234">
        <f t="shared" si="300"/>
        <v>129951151.34999999</v>
      </c>
      <c r="R242" s="210"/>
      <c r="S242" s="413"/>
      <c r="T242" s="192">
        <f>T244+T247+T250+T253+T256+T259</f>
        <v>0</v>
      </c>
      <c r="U242" s="192">
        <f t="shared" si="301"/>
        <v>0</v>
      </c>
      <c r="V242" s="192"/>
      <c r="W242" s="192">
        <f t="shared" si="301"/>
        <v>0</v>
      </c>
      <c r="X242" s="192">
        <f t="shared" si="301"/>
        <v>0</v>
      </c>
      <c r="Y242" s="192"/>
      <c r="Z242" s="192">
        <f t="shared" si="301"/>
        <v>0</v>
      </c>
      <c r="AA242" s="192">
        <f t="shared" si="301"/>
        <v>0</v>
      </c>
      <c r="AB242" s="192"/>
      <c r="AC242" s="192">
        <f t="shared" si="301"/>
        <v>0</v>
      </c>
      <c r="AD242" s="192">
        <f t="shared" si="301"/>
        <v>0</v>
      </c>
      <c r="AE242" s="192"/>
      <c r="AF242" s="192">
        <f t="shared" si="301"/>
        <v>0</v>
      </c>
      <c r="AG242" s="192">
        <f t="shared" si="301"/>
        <v>0</v>
      </c>
      <c r="AH242" s="192"/>
      <c r="AI242" s="192">
        <f>AI244+AI247+AI250+AI253+AI256+AI259</f>
        <v>145049</v>
      </c>
      <c r="AJ242" s="192">
        <f t="shared" si="302"/>
        <v>162454.88</v>
      </c>
      <c r="AK242" s="192"/>
      <c r="AL242" s="192">
        <f t="shared" si="302"/>
        <v>62991.619071428562</v>
      </c>
      <c r="AM242" s="188">
        <f t="shared" si="302"/>
        <v>70550.613359999988</v>
      </c>
      <c r="AN242" s="192"/>
      <c r="AO242" s="188">
        <f t="shared" ref="AO242" si="308">AL242-AI242</f>
        <v>-82057.380928571438</v>
      </c>
      <c r="AP242" s="188">
        <f t="shared" si="303"/>
        <v>-91904.266640000016</v>
      </c>
      <c r="AQ242" s="188"/>
      <c r="AR242" s="185">
        <f t="shared" si="273"/>
        <v>0.43427820303089687</v>
      </c>
      <c r="AS242" s="211">
        <f t="shared" si="305"/>
        <v>0</v>
      </c>
      <c r="AT242" s="211">
        <f t="shared" si="305"/>
        <v>62991.619071428562</v>
      </c>
      <c r="AU242" s="211">
        <f t="shared" si="305"/>
        <v>0</v>
      </c>
      <c r="AV242" s="188">
        <f t="shared" si="305"/>
        <v>158796.75627678572</v>
      </c>
      <c r="AW242" s="188">
        <f t="shared" si="305"/>
        <v>177852.36702999999</v>
      </c>
      <c r="AX242" s="188">
        <f t="shared" si="305"/>
        <v>0</v>
      </c>
      <c r="AY242" s="188">
        <f t="shared" si="305"/>
        <v>0</v>
      </c>
      <c r="AZ242" s="188">
        <f t="shared" si="305"/>
        <v>0</v>
      </c>
      <c r="BA242" s="188">
        <f t="shared" si="305"/>
        <v>0</v>
      </c>
      <c r="BB242" s="188">
        <f t="shared" si="305"/>
        <v>0</v>
      </c>
      <c r="BC242" s="188">
        <f t="shared" si="305"/>
        <v>0</v>
      </c>
      <c r="BD242" s="188">
        <f t="shared" si="305"/>
        <v>0</v>
      </c>
      <c r="BE242" s="188">
        <f t="shared" si="305"/>
        <v>0</v>
      </c>
      <c r="BF242" s="188">
        <f t="shared" si="305"/>
        <v>0</v>
      </c>
      <c r="BG242" s="188">
        <f t="shared" si="305"/>
        <v>0</v>
      </c>
      <c r="BH242" s="188">
        <f t="shared" si="305"/>
        <v>0</v>
      </c>
      <c r="BI242" s="188">
        <f t="shared" ref="BI242:BL242" si="309">BI244+BI247+BI250+BI253+BI256+BI259</f>
        <v>0</v>
      </c>
      <c r="BJ242" s="188">
        <f t="shared" si="309"/>
        <v>0</v>
      </c>
      <c r="BK242" s="188">
        <f t="shared" si="309"/>
        <v>0</v>
      </c>
      <c r="BL242" s="188">
        <f t="shared" si="309"/>
        <v>0</v>
      </c>
      <c r="BM242" s="181"/>
      <c r="BN242" s="181"/>
      <c r="BO242" s="188">
        <f t="shared" si="307"/>
        <v>0</v>
      </c>
      <c r="BP242" s="188">
        <f t="shared" si="307"/>
        <v>0</v>
      </c>
      <c r="BQ242" s="188">
        <f t="shared" si="307"/>
        <v>0</v>
      </c>
      <c r="BR242" s="212"/>
      <c r="BS242" s="212"/>
      <c r="BT242" s="181"/>
      <c r="BW242" s="181"/>
      <c r="BX242" s="190"/>
    </row>
    <row r="243" spans="1:76" s="204" customFormat="1" x14ac:dyDescent="0.25">
      <c r="A243" s="416"/>
      <c r="B243" s="375"/>
      <c r="C243" s="193" t="s">
        <v>69</v>
      </c>
      <c r="D243" s="193" t="s">
        <v>70</v>
      </c>
      <c r="E243" s="194">
        <f>I243</f>
        <v>145049</v>
      </c>
      <c r="F243" s="194">
        <f t="shared" ref="F243:F245" si="310">E243*1.12</f>
        <v>162454.88</v>
      </c>
      <c r="G243" s="402">
        <v>1919</v>
      </c>
      <c r="H243" s="404">
        <v>66</v>
      </c>
      <c r="I243" s="195">
        <v>145049</v>
      </c>
      <c r="J243" s="195">
        <f>I243*1.12</f>
        <v>162454.88</v>
      </c>
      <c r="K243" s="382" t="s">
        <v>111</v>
      </c>
      <c r="L243" s="379" t="s">
        <v>137</v>
      </c>
      <c r="M243" s="406" t="s">
        <v>96</v>
      </c>
      <c r="N243" s="196">
        <f t="shared" ref="N243:O260" si="311">P243</f>
        <v>35159942.999999993</v>
      </c>
      <c r="O243" s="196">
        <f t="shared" si="311"/>
        <v>39379136.159999996</v>
      </c>
      <c r="P243" s="196">
        <f>Q243/1.12</f>
        <v>35159942.999999993</v>
      </c>
      <c r="Q243" s="196">
        <v>39379136.159999996</v>
      </c>
      <c r="R243" s="369" t="s">
        <v>150</v>
      </c>
      <c r="S243" s="365">
        <v>20</v>
      </c>
      <c r="T243" s="214"/>
      <c r="U243" s="214"/>
      <c r="V243" s="214"/>
      <c r="W243" s="214"/>
      <c r="X243" s="214"/>
      <c r="Y243" s="214"/>
      <c r="Z243" s="198"/>
      <c r="AA243" s="198"/>
      <c r="AB243" s="198"/>
      <c r="AC243" s="198"/>
      <c r="AD243" s="199">
        <f t="shared" ref="AD243:AD260" si="312">AC243*1.12</f>
        <v>0</v>
      </c>
      <c r="AE243" s="198"/>
      <c r="AF243" s="198">
        <f t="shared" ref="AF243:AH260" si="313">Z243+AC243</f>
        <v>0</v>
      </c>
      <c r="AG243" s="198">
        <f t="shared" si="313"/>
        <v>0</v>
      </c>
      <c r="AH243" s="198">
        <f t="shared" si="313"/>
        <v>0</v>
      </c>
      <c r="AI243" s="198">
        <f>21938+21938+43875+43875+13423</f>
        <v>145049</v>
      </c>
      <c r="AJ243" s="198">
        <f>AI243*1.12</f>
        <v>162454.88</v>
      </c>
      <c r="AK243" s="198">
        <f>10+10+20+20+6</f>
        <v>66</v>
      </c>
      <c r="AL243" s="198">
        <f>3625+5841+12476-6494-11+813+611</f>
        <v>16861</v>
      </c>
      <c r="AM243" s="199">
        <f>AL243*1.12</f>
        <v>18884.320000000003</v>
      </c>
      <c r="AN243" s="198">
        <f>4+6+6+3+1</f>
        <v>20</v>
      </c>
      <c r="AO243" s="199">
        <f>AL243-$AI$243/$AK$243*AN243+AQ243*$AI$243/$AK$243</f>
        <v>-27093.242424242417</v>
      </c>
      <c r="AP243" s="199">
        <f>AO243*1.12</f>
        <v>-30344.431515151511</v>
      </c>
      <c r="AQ243" s="199">
        <f>AN243-(2+2+5+8+3)</f>
        <v>0</v>
      </c>
      <c r="AR243" s="200"/>
      <c r="AS243" s="201"/>
      <c r="AT243" s="201"/>
      <c r="AU243" s="201"/>
      <c r="AV243" s="199">
        <f>ROUND(P243/1000,0)</f>
        <v>35160</v>
      </c>
      <c r="AW243" s="199">
        <f>AV243*1.12</f>
        <v>39379.200000000004</v>
      </c>
      <c r="AX243" s="199">
        <f>S243</f>
        <v>20</v>
      </c>
      <c r="AY243" s="199"/>
      <c r="AZ243" s="199">
        <f>AL243-$AI$243/$AK$243*AN243</f>
        <v>-27093.242424242417</v>
      </c>
      <c r="BA243" s="199"/>
      <c r="BB243" s="199"/>
      <c r="BC243" s="199"/>
      <c r="BD243" s="199"/>
      <c r="BE243" s="199"/>
      <c r="BF243" s="199"/>
      <c r="BG243" s="199"/>
      <c r="BH243" s="199"/>
      <c r="BI243" s="199"/>
      <c r="BJ243" s="199"/>
      <c r="BK243" s="199"/>
      <c r="BL243" s="199">
        <f>AQ243*$AI$243/$AK$243</f>
        <v>0</v>
      </c>
      <c r="BM243" s="202"/>
      <c r="BN243" s="202"/>
      <c r="BO243" s="202"/>
      <c r="BP243" s="202"/>
      <c r="BQ243" s="202"/>
      <c r="BR243" s="202"/>
      <c r="BS243" s="202"/>
      <c r="BT243" s="202"/>
      <c r="BW243" s="202"/>
      <c r="BX243" s="205"/>
    </row>
    <row r="244" spans="1:76" s="97" customFormat="1" x14ac:dyDescent="0.25">
      <c r="A244" s="416"/>
      <c r="B244" s="375"/>
      <c r="C244" s="117" t="s">
        <v>71</v>
      </c>
      <c r="D244" s="117" t="s">
        <v>72</v>
      </c>
      <c r="E244" s="163">
        <f>E245</f>
        <v>145049</v>
      </c>
      <c r="F244" s="163">
        <f t="shared" si="310"/>
        <v>162454.88</v>
      </c>
      <c r="G244" s="403"/>
      <c r="H244" s="405"/>
      <c r="I244" s="161">
        <f>I243</f>
        <v>145049</v>
      </c>
      <c r="J244" s="161">
        <f>I244*1.12</f>
        <v>162454.88</v>
      </c>
      <c r="K244" s="383"/>
      <c r="L244" s="380"/>
      <c r="M244" s="406"/>
      <c r="N244" s="120">
        <f t="shared" si="311"/>
        <v>35159942.999999993</v>
      </c>
      <c r="O244" s="120">
        <f t="shared" si="311"/>
        <v>39379136.159999996</v>
      </c>
      <c r="P244" s="120">
        <f t="shared" ref="P244:P245" si="314">Q244/1.12</f>
        <v>35159942.999999993</v>
      </c>
      <c r="Q244" s="120">
        <f>Q243</f>
        <v>39379136.159999996</v>
      </c>
      <c r="R244" s="369"/>
      <c r="S244" s="365"/>
      <c r="T244" s="206"/>
      <c r="U244" s="206"/>
      <c r="V244" s="206"/>
      <c r="W244" s="206"/>
      <c r="X244" s="206"/>
      <c r="Y244" s="206"/>
      <c r="Z244" s="119"/>
      <c r="AA244" s="119"/>
      <c r="AB244" s="119"/>
      <c r="AC244" s="119"/>
      <c r="AD244" s="118">
        <f t="shared" si="312"/>
        <v>0</v>
      </c>
      <c r="AE244" s="119"/>
      <c r="AF244" s="119">
        <f t="shared" si="313"/>
        <v>0</v>
      </c>
      <c r="AG244" s="119">
        <f t="shared" si="313"/>
        <v>0</v>
      </c>
      <c r="AH244" s="119"/>
      <c r="AI244" s="119">
        <f>21938+21938+43875+43875+13423</f>
        <v>145049</v>
      </c>
      <c r="AJ244" s="119">
        <f>AI244*1.12</f>
        <v>162454.88</v>
      </c>
      <c r="AK244" s="119"/>
      <c r="AL244" s="119">
        <f>2663.34195/1.12+4338.93694/1.12+4164.54777/1.12+1878.88636/1.12+1587.41848/1.12</f>
        <v>13065.295982142856</v>
      </c>
      <c r="AM244" s="226">
        <f>AL244*1.12</f>
        <v>14633.1315</v>
      </c>
      <c r="AN244" s="227"/>
      <c r="AO244" s="118">
        <f>AL244-$AI$244/$AK$243*AN243+AQ243*$AI$244/$AK$243</f>
        <v>-30888.946442099561</v>
      </c>
      <c r="AP244" s="118">
        <f>AO244*1.12</f>
        <v>-34595.620015151515</v>
      </c>
      <c r="AQ244" s="118"/>
      <c r="AR244" s="121"/>
      <c r="AS244" s="122"/>
      <c r="AT244" s="122">
        <f>AL244</f>
        <v>13065.295982142856</v>
      </c>
      <c r="AU244" s="122"/>
      <c r="AV244" s="118">
        <f>ROUND(P244/1000,0)</f>
        <v>35160</v>
      </c>
      <c r="AW244" s="118">
        <f t="shared" ref="AW244:AW245" si="315">AV244*1.12</f>
        <v>39379.200000000004</v>
      </c>
      <c r="AX244" s="118"/>
      <c r="AY244" s="118"/>
      <c r="AZ244" s="118"/>
      <c r="BA244" s="118"/>
      <c r="BB244" s="118"/>
      <c r="BC244" s="118"/>
      <c r="BD244" s="118"/>
      <c r="BE244" s="118"/>
      <c r="BF244" s="118"/>
      <c r="BG244" s="118"/>
      <c r="BH244" s="118"/>
      <c r="BI244" s="118"/>
      <c r="BJ244" s="118"/>
      <c r="BK244" s="118"/>
      <c r="BL244" s="118"/>
      <c r="BM244" s="100"/>
      <c r="BN244" s="100"/>
      <c r="BO244" s="100"/>
      <c r="BP244" s="100"/>
      <c r="BQ244" s="100"/>
      <c r="BR244" s="100"/>
      <c r="BS244" s="100"/>
      <c r="BT244" s="100"/>
      <c r="BU244" s="97">
        <v>20526140.170000002</v>
      </c>
      <c r="BW244" s="100"/>
      <c r="BX244" s="101"/>
    </row>
    <row r="245" spans="1:76" x14ac:dyDescent="0.25">
      <c r="A245" s="416"/>
      <c r="B245" s="375"/>
      <c r="C245" s="124" t="s">
        <v>71</v>
      </c>
      <c r="D245" s="124" t="s">
        <v>73</v>
      </c>
      <c r="E245" s="167">
        <f>E243</f>
        <v>145049</v>
      </c>
      <c r="F245" s="167">
        <f t="shared" si="310"/>
        <v>162454.88</v>
      </c>
      <c r="G245" s="403"/>
      <c r="H245" s="405"/>
      <c r="I245" s="166">
        <f>I244</f>
        <v>145049</v>
      </c>
      <c r="J245" s="166">
        <f>J244</f>
        <v>162454.88</v>
      </c>
      <c r="K245" s="384"/>
      <c r="L245" s="381"/>
      <c r="M245" s="406"/>
      <c r="N245" s="127">
        <f t="shared" si="311"/>
        <v>35159942.999999993</v>
      </c>
      <c r="O245" s="127">
        <f t="shared" si="311"/>
        <v>39379136.159999996</v>
      </c>
      <c r="P245" s="127">
        <f t="shared" si="314"/>
        <v>35159942.999999993</v>
      </c>
      <c r="Q245" s="127">
        <f>Q244</f>
        <v>39379136.159999996</v>
      </c>
      <c r="R245" s="369"/>
      <c r="S245" s="365"/>
      <c r="T245" s="37"/>
      <c r="U245" s="37"/>
      <c r="V245" s="37"/>
      <c r="W245" s="37"/>
      <c r="X245" s="37"/>
      <c r="Y245" s="37"/>
      <c r="Z245" s="126"/>
      <c r="AA245" s="126"/>
      <c r="AB245" s="126"/>
      <c r="AC245" s="126">
        <f>AC244</f>
        <v>0</v>
      </c>
      <c r="AD245" s="125">
        <f t="shared" si="312"/>
        <v>0</v>
      </c>
      <c r="AE245" s="126"/>
      <c r="AF245" s="126">
        <f t="shared" si="313"/>
        <v>0</v>
      </c>
      <c r="AG245" s="126">
        <f t="shared" si="313"/>
        <v>0</v>
      </c>
      <c r="AH245" s="126"/>
      <c r="AI245" s="126">
        <f>AI244</f>
        <v>145049</v>
      </c>
      <c r="AJ245" s="126">
        <f>AJ244</f>
        <v>162454.88</v>
      </c>
      <c r="AK245" s="126"/>
      <c r="AL245" s="126">
        <f>AL244</f>
        <v>13065.295982142856</v>
      </c>
      <c r="AM245" s="228">
        <f>AL245*1.12</f>
        <v>14633.1315</v>
      </c>
      <c r="AN245" s="229"/>
      <c r="AO245" s="125">
        <f>AO244</f>
        <v>-30888.946442099561</v>
      </c>
      <c r="AP245" s="125">
        <f>AP244</f>
        <v>-34595.620015151515</v>
      </c>
      <c r="AQ245" s="125"/>
      <c r="AR245" s="128"/>
      <c r="AS245" s="129"/>
      <c r="AT245" s="129">
        <f>AL245</f>
        <v>13065.295982142856</v>
      </c>
      <c r="AU245" s="129"/>
      <c r="AV245" s="125">
        <f>AV244</f>
        <v>35160</v>
      </c>
      <c r="AW245" s="125">
        <f t="shared" si="315"/>
        <v>39379.200000000004</v>
      </c>
      <c r="AX245" s="125"/>
      <c r="AY245" s="125"/>
      <c r="AZ245" s="125"/>
      <c r="BA245" s="125"/>
      <c r="BB245" s="125"/>
      <c r="BC245" s="125"/>
      <c r="BD245" s="125"/>
      <c r="BE245" s="125"/>
      <c r="BF245" s="125"/>
      <c r="BG245" s="125"/>
      <c r="BH245" s="125"/>
      <c r="BI245" s="125"/>
      <c r="BJ245" s="125"/>
      <c r="BK245" s="125"/>
      <c r="BL245" s="125"/>
      <c r="BM245" s="25"/>
      <c r="BN245" s="25"/>
      <c r="BO245" s="25"/>
      <c r="BP245" s="25"/>
      <c r="BQ245" s="25"/>
      <c r="BR245" s="25"/>
      <c r="BS245" s="25"/>
      <c r="BT245" s="25"/>
      <c r="BW245" s="25"/>
      <c r="BX245" s="26"/>
    </row>
    <row r="246" spans="1:76" s="204" customFormat="1" collapsed="1" x14ac:dyDescent="0.25">
      <c r="A246" s="416"/>
      <c r="B246" s="375"/>
      <c r="C246" s="193" t="s">
        <v>69</v>
      </c>
      <c r="D246" s="193" t="s">
        <v>70</v>
      </c>
      <c r="E246" s="194"/>
      <c r="F246" s="194"/>
      <c r="G246" s="403"/>
      <c r="H246" s="405"/>
      <c r="I246" s="195"/>
      <c r="J246" s="195"/>
      <c r="K246" s="370" t="s">
        <v>138</v>
      </c>
      <c r="L246" s="419" t="s">
        <v>139</v>
      </c>
      <c r="M246" s="406" t="s">
        <v>96</v>
      </c>
      <c r="N246" s="196">
        <f t="shared" si="311"/>
        <v>5273991.6339285709</v>
      </c>
      <c r="O246" s="196">
        <f t="shared" si="311"/>
        <v>5906870.6299999999</v>
      </c>
      <c r="P246" s="196">
        <f>Q246/1.12</f>
        <v>5273991.6339285709</v>
      </c>
      <c r="Q246" s="196">
        <v>5906870.6299999999</v>
      </c>
      <c r="R246" s="369" t="s">
        <v>150</v>
      </c>
      <c r="S246" s="365">
        <v>3</v>
      </c>
      <c r="T246" s="214"/>
      <c r="U246" s="214"/>
      <c r="V246" s="214"/>
      <c r="W246" s="214"/>
      <c r="X246" s="214"/>
      <c r="Y246" s="214"/>
      <c r="Z246" s="198"/>
      <c r="AA246" s="198"/>
      <c r="AB246" s="198"/>
      <c r="AC246" s="198"/>
      <c r="AD246" s="199">
        <f t="shared" si="312"/>
        <v>0</v>
      </c>
      <c r="AE246" s="198"/>
      <c r="AF246" s="198">
        <f t="shared" si="313"/>
        <v>0</v>
      </c>
      <c r="AG246" s="198">
        <f t="shared" si="313"/>
        <v>0</v>
      </c>
      <c r="AH246" s="198">
        <f t="shared" si="313"/>
        <v>0</v>
      </c>
      <c r="AI246" s="198"/>
      <c r="AJ246" s="198"/>
      <c r="AK246" s="198"/>
      <c r="AL246" s="198">
        <f>5255</f>
        <v>5255</v>
      </c>
      <c r="AM246" s="199">
        <f>AL246*1.12</f>
        <v>5885.6</v>
      </c>
      <c r="AN246" s="198">
        <f>3</f>
        <v>3</v>
      </c>
      <c r="AO246" s="199">
        <f>AL246-$AI$243/$AK$243*AN246+AQ246*$AI$243/$AK$243</f>
        <v>-1338.1363636363631</v>
      </c>
      <c r="AP246" s="199">
        <f>AO246*1.12</f>
        <v>-1498.7127272727269</v>
      </c>
      <c r="AQ246" s="199">
        <f>AN246-(3+0)</f>
        <v>0</v>
      </c>
      <c r="AR246" s="200" t="str">
        <f t="shared" ref="AR246:AR262" si="316">IF(AI246=0,"",AL246/AI246)</f>
        <v/>
      </c>
      <c r="AS246" s="201"/>
      <c r="AT246" s="201"/>
      <c r="AU246" s="201"/>
      <c r="AV246" s="199">
        <f>ROUND(P246/1000,0)</f>
        <v>5274</v>
      </c>
      <c r="AW246" s="199">
        <f>AV246*1.12</f>
        <v>5906.88</v>
      </c>
      <c r="AX246" s="199">
        <f>S246</f>
        <v>3</v>
      </c>
      <c r="AY246" s="199"/>
      <c r="AZ246" s="199">
        <f>AL246-$AI$243/$AK$243*AN246</f>
        <v>-1338.1363636363631</v>
      </c>
      <c r="BA246" s="199"/>
      <c r="BB246" s="199"/>
      <c r="BC246" s="199"/>
      <c r="BD246" s="199"/>
      <c r="BE246" s="199"/>
      <c r="BF246" s="199">
        <f>AQ246*$AI$243/$AK$243</f>
        <v>0</v>
      </c>
      <c r="BG246" s="199"/>
      <c r="BH246" s="199"/>
      <c r="BI246" s="199"/>
      <c r="BJ246" s="199"/>
      <c r="BK246" s="199"/>
      <c r="BL246" s="199"/>
      <c r="BM246" s="230"/>
      <c r="BN246" s="230"/>
      <c r="BO246" s="230"/>
      <c r="BP246" s="230"/>
      <c r="BQ246" s="230"/>
      <c r="BR246" s="230"/>
      <c r="BS246" s="230"/>
      <c r="BT246" s="230"/>
      <c r="BW246" s="202"/>
      <c r="BX246" s="205"/>
    </row>
    <row r="247" spans="1:76" s="97" customFormat="1" x14ac:dyDescent="0.25">
      <c r="A247" s="416"/>
      <c r="B247" s="375"/>
      <c r="C247" s="117" t="s">
        <v>71</v>
      </c>
      <c r="D247" s="117" t="s">
        <v>72</v>
      </c>
      <c r="E247" s="163"/>
      <c r="F247" s="163"/>
      <c r="G247" s="403"/>
      <c r="H247" s="405"/>
      <c r="I247" s="161"/>
      <c r="J247" s="161"/>
      <c r="K247" s="370"/>
      <c r="L247" s="419"/>
      <c r="M247" s="406"/>
      <c r="N247" s="120">
        <f t="shared" si="311"/>
        <v>5273991.6339285709</v>
      </c>
      <c r="O247" s="120">
        <f t="shared" si="311"/>
        <v>5906870.6299999999</v>
      </c>
      <c r="P247" s="120">
        <f t="shared" ref="P247:P254" si="317">Q247/1.12</f>
        <v>5273991.6339285709</v>
      </c>
      <c r="Q247" s="120">
        <f>Q246</f>
        <v>5906870.6299999999</v>
      </c>
      <c r="R247" s="369"/>
      <c r="S247" s="365"/>
      <c r="T247" s="206"/>
      <c r="U247" s="206"/>
      <c r="V247" s="206"/>
      <c r="W247" s="206"/>
      <c r="X247" s="206"/>
      <c r="Y247" s="206"/>
      <c r="Z247" s="119"/>
      <c r="AA247" s="119"/>
      <c r="AB247" s="119"/>
      <c r="AC247" s="119"/>
      <c r="AD247" s="118">
        <f t="shared" si="312"/>
        <v>0</v>
      </c>
      <c r="AE247" s="119"/>
      <c r="AF247" s="119">
        <f t="shared" si="313"/>
        <v>0</v>
      </c>
      <c r="AG247" s="119">
        <f t="shared" si="313"/>
        <v>0</v>
      </c>
      <c r="AH247" s="119"/>
      <c r="AI247" s="119"/>
      <c r="AJ247" s="119">
        <f>AI247*1.12</f>
        <v>0</v>
      </c>
      <c r="AK247" s="119"/>
      <c r="AL247" s="161">
        <f>5771.78784/1.12</f>
        <v>5153.3819999999996</v>
      </c>
      <c r="AM247" s="163">
        <f>AL247*1.12</f>
        <v>5771.78784</v>
      </c>
      <c r="AN247" s="119"/>
      <c r="AO247" s="118">
        <f>AL247-$AI$244/$AK$243*AN246+AQ246*$AI$244/$AK$243</f>
        <v>-1439.7543636363635</v>
      </c>
      <c r="AP247" s="118">
        <f>AO247*1.12</f>
        <v>-1612.5248872727273</v>
      </c>
      <c r="AQ247" s="118"/>
      <c r="AR247" s="121" t="str">
        <f t="shared" si="316"/>
        <v/>
      </c>
      <c r="AS247" s="122"/>
      <c r="AT247" s="122">
        <f>AL247</f>
        <v>5153.3819999999996</v>
      </c>
      <c r="AU247" s="122"/>
      <c r="AV247" s="118">
        <f>ROUND(P247/1000,0)</f>
        <v>5274</v>
      </c>
      <c r="AW247" s="118">
        <f t="shared" ref="AW247:AW248" si="318">AV247*1.12</f>
        <v>5906.88</v>
      </c>
      <c r="AX247" s="118"/>
      <c r="AY247" s="118"/>
      <c r="AZ247" s="118"/>
      <c r="BA247" s="118"/>
      <c r="BB247" s="118"/>
      <c r="BC247" s="118"/>
      <c r="BD247" s="118"/>
      <c r="BE247" s="118"/>
      <c r="BF247" s="118"/>
      <c r="BG247" s="118"/>
      <c r="BH247" s="118"/>
      <c r="BI247" s="118"/>
      <c r="BJ247" s="118"/>
      <c r="BK247" s="118"/>
      <c r="BL247" s="118"/>
      <c r="BM247" s="123"/>
      <c r="BN247" s="123"/>
      <c r="BO247" s="123"/>
      <c r="BP247" s="123"/>
      <c r="BQ247" s="123"/>
      <c r="BR247" s="123"/>
      <c r="BS247" s="123"/>
      <c r="BT247" s="123"/>
      <c r="BW247" s="100"/>
      <c r="BX247" s="101"/>
    </row>
    <row r="248" spans="1:76" x14ac:dyDescent="0.25">
      <c r="A248" s="416"/>
      <c r="B248" s="375"/>
      <c r="C248" s="124" t="s">
        <v>71</v>
      </c>
      <c r="D248" s="124" t="s">
        <v>73</v>
      </c>
      <c r="E248" s="167"/>
      <c r="F248" s="167"/>
      <c r="G248" s="403"/>
      <c r="H248" s="405"/>
      <c r="I248" s="166"/>
      <c r="J248" s="166"/>
      <c r="K248" s="370"/>
      <c r="L248" s="419"/>
      <c r="M248" s="406"/>
      <c r="N248" s="127">
        <f t="shared" si="311"/>
        <v>5273991.6339285709</v>
      </c>
      <c r="O248" s="127">
        <f t="shared" si="311"/>
        <v>5906870.6299999999</v>
      </c>
      <c r="P248" s="127">
        <f t="shared" si="317"/>
        <v>5273991.6339285709</v>
      </c>
      <c r="Q248" s="127">
        <f>Q246</f>
        <v>5906870.6299999999</v>
      </c>
      <c r="R248" s="369"/>
      <c r="S248" s="365"/>
      <c r="T248" s="37"/>
      <c r="U248" s="37"/>
      <c r="V248" s="37"/>
      <c r="W248" s="37"/>
      <c r="X248" s="37"/>
      <c r="Y248" s="37"/>
      <c r="Z248" s="126"/>
      <c r="AA248" s="126"/>
      <c r="AB248" s="126"/>
      <c r="AC248" s="126">
        <f t="shared" ref="AC248" si="319">AC247</f>
        <v>0</v>
      </c>
      <c r="AD248" s="125">
        <f t="shared" si="312"/>
        <v>0</v>
      </c>
      <c r="AE248" s="126"/>
      <c r="AF248" s="126">
        <f t="shared" si="313"/>
        <v>0</v>
      </c>
      <c r="AG248" s="126">
        <f t="shared" si="313"/>
        <v>0</v>
      </c>
      <c r="AH248" s="126"/>
      <c r="AI248" s="126">
        <f>AI247</f>
        <v>0</v>
      </c>
      <c r="AJ248" s="126">
        <f>AJ247</f>
        <v>0</v>
      </c>
      <c r="AK248" s="126"/>
      <c r="AL248" s="126">
        <f>AL247</f>
        <v>5153.3819999999996</v>
      </c>
      <c r="AM248" s="125">
        <f>AM247</f>
        <v>5771.78784</v>
      </c>
      <c r="AN248" s="126"/>
      <c r="AO248" s="125">
        <f>AO247</f>
        <v>-1439.7543636363635</v>
      </c>
      <c r="AP248" s="125">
        <f>AP247</f>
        <v>-1612.5248872727273</v>
      </c>
      <c r="AQ248" s="125"/>
      <c r="AR248" s="128" t="str">
        <f t="shared" si="316"/>
        <v/>
      </c>
      <c r="AS248" s="129"/>
      <c r="AT248" s="129">
        <f>AL248</f>
        <v>5153.3819999999996</v>
      </c>
      <c r="AU248" s="129"/>
      <c r="AV248" s="125">
        <f>AV247</f>
        <v>5274</v>
      </c>
      <c r="AW248" s="125">
        <f t="shared" si="318"/>
        <v>5906.88</v>
      </c>
      <c r="AX248" s="125"/>
      <c r="AY248" s="118"/>
      <c r="AZ248" s="118"/>
      <c r="BA248" s="118"/>
      <c r="BB248" s="118"/>
      <c r="BC248" s="118"/>
      <c r="BD248" s="118"/>
      <c r="BE248" s="118"/>
      <c r="BF248" s="118"/>
      <c r="BG248" s="118"/>
      <c r="BH248" s="118"/>
      <c r="BI248" s="118"/>
      <c r="BJ248" s="118"/>
      <c r="BK248" s="118"/>
      <c r="BL248" s="118"/>
      <c r="BM248" s="123"/>
      <c r="BN248" s="123"/>
      <c r="BO248" s="123"/>
      <c r="BP248" s="123"/>
      <c r="BQ248" s="123"/>
      <c r="BR248" s="123"/>
      <c r="BS248" s="123"/>
      <c r="BT248" s="123"/>
      <c r="BW248" s="25"/>
      <c r="BX248" s="26"/>
    </row>
    <row r="249" spans="1:76" s="204" customFormat="1" x14ac:dyDescent="0.25">
      <c r="A249" s="416"/>
      <c r="B249" s="375"/>
      <c r="C249" s="193" t="s">
        <v>69</v>
      </c>
      <c r="D249" s="193" t="s">
        <v>70</v>
      </c>
      <c r="E249" s="194"/>
      <c r="F249" s="194">
        <f>E249*1.12</f>
        <v>0</v>
      </c>
      <c r="G249" s="403"/>
      <c r="H249" s="405"/>
      <c r="I249" s="195"/>
      <c r="J249" s="195"/>
      <c r="K249" s="370" t="s">
        <v>140</v>
      </c>
      <c r="L249" s="369" t="s">
        <v>141</v>
      </c>
      <c r="M249" s="406" t="s">
        <v>96</v>
      </c>
      <c r="N249" s="196">
        <f t="shared" si="311"/>
        <v>50981918.4375</v>
      </c>
      <c r="O249" s="196">
        <f t="shared" si="311"/>
        <v>57099748.650000006</v>
      </c>
      <c r="P249" s="196">
        <f t="shared" si="317"/>
        <v>50981918.4375</v>
      </c>
      <c r="Q249" s="196">
        <f>17720611.69+39379136.96</f>
        <v>57099748.650000006</v>
      </c>
      <c r="R249" s="369" t="s">
        <v>150</v>
      </c>
      <c r="S249" s="365">
        <f>9+20</f>
        <v>29</v>
      </c>
      <c r="T249" s="214"/>
      <c r="U249" s="214"/>
      <c r="V249" s="214"/>
      <c r="W249" s="214"/>
      <c r="X249" s="214"/>
      <c r="Y249" s="214"/>
      <c r="Z249" s="198"/>
      <c r="AA249" s="198"/>
      <c r="AB249" s="198"/>
      <c r="AC249" s="198"/>
      <c r="AD249" s="199">
        <f t="shared" si="312"/>
        <v>0</v>
      </c>
      <c r="AE249" s="198"/>
      <c r="AF249" s="198">
        <f t="shared" si="313"/>
        <v>0</v>
      </c>
      <c r="AG249" s="198">
        <f t="shared" si="313"/>
        <v>0</v>
      </c>
      <c r="AH249" s="198">
        <f t="shared" si="313"/>
        <v>0</v>
      </c>
      <c r="AI249" s="198"/>
      <c r="AJ249" s="198"/>
      <c r="AK249" s="198"/>
      <c r="AL249" s="198">
        <f>25189+11715</f>
        <v>36904</v>
      </c>
      <c r="AM249" s="199">
        <f>AL249*1.12</f>
        <v>41332.480000000003</v>
      </c>
      <c r="AN249" s="198">
        <f>3+9+6+3+6+1+1</f>
        <v>29</v>
      </c>
      <c r="AO249" s="199">
        <f>AL249-$AI$243/$AK$243*AN249+AQ249*$AI$243/$AK$243</f>
        <v>-26829.651515151512</v>
      </c>
      <c r="AP249" s="199">
        <f>AO249*1.12</f>
        <v>-30049.209696969698</v>
      </c>
      <c r="AQ249" s="199">
        <f>AN249-(7+11+8+3)</f>
        <v>0</v>
      </c>
      <c r="AR249" s="200" t="str">
        <f t="shared" si="316"/>
        <v/>
      </c>
      <c r="AS249" s="201"/>
      <c r="AT249" s="201"/>
      <c r="AU249" s="201"/>
      <c r="AV249" s="199">
        <f>E243-AV243-AV246</f>
        <v>104615</v>
      </c>
      <c r="AW249" s="199">
        <f>AV249*1.12</f>
        <v>117168.80000000002</v>
      </c>
      <c r="AX249" s="199">
        <f>H243-AX243-AX246</f>
        <v>43</v>
      </c>
      <c r="AY249" s="199"/>
      <c r="AZ249" s="199">
        <f>AL249-$AI$243/$AK$243*AN249</f>
        <v>-26829.651515151512</v>
      </c>
      <c r="BA249" s="199"/>
      <c r="BB249" s="199"/>
      <c r="BC249" s="199"/>
      <c r="BD249" s="199"/>
      <c r="BE249" s="199"/>
      <c r="BF249" s="199"/>
      <c r="BG249" s="199"/>
      <c r="BH249" s="199"/>
      <c r="BI249" s="199"/>
      <c r="BJ249" s="199"/>
      <c r="BK249" s="199"/>
      <c r="BL249" s="237">
        <f>AQ249*$AI$243/$AK$243</f>
        <v>0</v>
      </c>
      <c r="BM249" s="203"/>
      <c r="BN249" s="203"/>
      <c r="BO249" s="202"/>
      <c r="BP249" s="202"/>
      <c r="BQ249" s="202"/>
      <c r="BR249" s="203"/>
      <c r="BS249" s="203"/>
      <c r="BT249" s="202"/>
      <c r="BW249" s="202"/>
      <c r="BX249" s="205"/>
    </row>
    <row r="250" spans="1:76" s="97" customFormat="1" x14ac:dyDescent="0.25">
      <c r="A250" s="416"/>
      <c r="B250" s="375"/>
      <c r="C250" s="117" t="s">
        <v>71</v>
      </c>
      <c r="D250" s="117" t="s">
        <v>72</v>
      </c>
      <c r="E250" s="163"/>
      <c r="F250" s="163">
        <f t="shared" ref="F250:F251" si="320">E250*1.12</f>
        <v>0</v>
      </c>
      <c r="G250" s="403"/>
      <c r="H250" s="405"/>
      <c r="I250" s="161"/>
      <c r="J250" s="161"/>
      <c r="K250" s="370"/>
      <c r="L250" s="369"/>
      <c r="M250" s="406"/>
      <c r="N250" s="120">
        <f t="shared" si="311"/>
        <v>50981918.4375</v>
      </c>
      <c r="O250" s="120">
        <f t="shared" si="311"/>
        <v>57099748.650000006</v>
      </c>
      <c r="P250" s="120">
        <f t="shared" si="317"/>
        <v>50981918.4375</v>
      </c>
      <c r="Q250" s="120">
        <f>Q249</f>
        <v>57099748.650000006</v>
      </c>
      <c r="R250" s="369"/>
      <c r="S250" s="365"/>
      <c r="T250" s="206"/>
      <c r="U250" s="206"/>
      <c r="V250" s="206"/>
      <c r="W250" s="206"/>
      <c r="X250" s="206"/>
      <c r="Y250" s="206"/>
      <c r="Z250" s="119"/>
      <c r="AA250" s="119"/>
      <c r="AB250" s="119"/>
      <c r="AC250" s="119"/>
      <c r="AD250" s="118">
        <f t="shared" si="312"/>
        <v>0</v>
      </c>
      <c r="AE250" s="119"/>
      <c r="AF250" s="119">
        <f t="shared" si="313"/>
        <v>0</v>
      </c>
      <c r="AG250" s="119">
        <f t="shared" si="313"/>
        <v>0</v>
      </c>
      <c r="AH250" s="119"/>
      <c r="AI250" s="119"/>
      <c r="AJ250" s="119">
        <f>AI250*1.12</f>
        <v>0</v>
      </c>
      <c r="AK250" s="119"/>
      <c r="AL250" s="119">
        <f>16161.39491/1.12+7366.70021/1.12+3237.12984/1.12+6728.54811/1.12+1254.43392/1.12</f>
        <v>31025.184812499996</v>
      </c>
      <c r="AM250" s="118">
        <f>AL250*1.12</f>
        <v>34748.206989999999</v>
      </c>
      <c r="AN250" s="119"/>
      <c r="AO250" s="118">
        <f>AL250-$AI$244/$AK$243*AN249+AQ249*$AI$244/$AK$243</f>
        <v>-32708.466702651516</v>
      </c>
      <c r="AP250" s="118">
        <f>AO250*1.12</f>
        <v>-36633.482706969698</v>
      </c>
      <c r="AQ250" s="118"/>
      <c r="AR250" s="121" t="str">
        <f t="shared" si="316"/>
        <v/>
      </c>
      <c r="AS250" s="122"/>
      <c r="AT250" s="122">
        <f>AL250</f>
        <v>31025.184812499996</v>
      </c>
      <c r="AU250" s="122"/>
      <c r="AV250" s="118">
        <f>E244-AV244-AV247</f>
        <v>104615</v>
      </c>
      <c r="AW250" s="118">
        <f t="shared" ref="AW250:AW251" si="321">AV250*1.12</f>
        <v>117168.80000000002</v>
      </c>
      <c r="AX250" s="118"/>
      <c r="AY250" s="118"/>
      <c r="AZ250" s="118"/>
      <c r="BA250" s="118"/>
      <c r="BB250" s="118"/>
      <c r="BC250" s="118"/>
      <c r="BD250" s="118"/>
      <c r="BE250" s="118"/>
      <c r="BF250" s="118"/>
      <c r="BG250" s="118"/>
      <c r="BH250" s="118"/>
      <c r="BI250" s="118"/>
      <c r="BJ250" s="118"/>
      <c r="BK250" s="118"/>
      <c r="BL250" s="118"/>
      <c r="BM250" s="207"/>
      <c r="BN250" s="207"/>
      <c r="BO250" s="100"/>
      <c r="BP250" s="100"/>
      <c r="BQ250" s="100"/>
      <c r="BR250" s="207"/>
      <c r="BS250" s="207"/>
      <c r="BT250" s="100"/>
      <c r="BW250" s="100"/>
      <c r="BX250" s="101"/>
    </row>
    <row r="251" spans="1:76" x14ac:dyDescent="0.25">
      <c r="A251" s="416"/>
      <c r="B251" s="375"/>
      <c r="C251" s="124" t="s">
        <v>71</v>
      </c>
      <c r="D251" s="124" t="s">
        <v>73</v>
      </c>
      <c r="E251" s="167"/>
      <c r="F251" s="167">
        <f t="shared" si="320"/>
        <v>0</v>
      </c>
      <c r="G251" s="403"/>
      <c r="H251" s="405"/>
      <c r="I251" s="166"/>
      <c r="J251" s="166"/>
      <c r="K251" s="370"/>
      <c r="L251" s="369"/>
      <c r="M251" s="406"/>
      <c r="N251" s="127">
        <f t="shared" si="311"/>
        <v>50981918.4375</v>
      </c>
      <c r="O251" s="127">
        <f t="shared" si="311"/>
        <v>57099748.650000006</v>
      </c>
      <c r="P251" s="127">
        <f t="shared" si="317"/>
        <v>50981918.4375</v>
      </c>
      <c r="Q251" s="127">
        <f>Q250</f>
        <v>57099748.650000006</v>
      </c>
      <c r="R251" s="369"/>
      <c r="S251" s="365"/>
      <c r="T251" s="37"/>
      <c r="U251" s="37"/>
      <c r="V251" s="37"/>
      <c r="W251" s="37"/>
      <c r="X251" s="37"/>
      <c r="Y251" s="37"/>
      <c r="Z251" s="126"/>
      <c r="AA251" s="126"/>
      <c r="AB251" s="126"/>
      <c r="AC251" s="126">
        <f t="shared" ref="AC251" si="322">AC250</f>
        <v>0</v>
      </c>
      <c r="AD251" s="125">
        <f t="shared" si="312"/>
        <v>0</v>
      </c>
      <c r="AE251" s="126"/>
      <c r="AF251" s="126">
        <f t="shared" si="313"/>
        <v>0</v>
      </c>
      <c r="AG251" s="126">
        <f t="shared" si="313"/>
        <v>0</v>
      </c>
      <c r="AH251" s="126"/>
      <c r="AI251" s="126">
        <f>AI250</f>
        <v>0</v>
      </c>
      <c r="AJ251" s="126">
        <f>AJ250</f>
        <v>0</v>
      </c>
      <c r="AK251" s="126"/>
      <c r="AL251" s="126">
        <f>AL250</f>
        <v>31025.184812499996</v>
      </c>
      <c r="AM251" s="125">
        <f>AM250</f>
        <v>34748.206989999999</v>
      </c>
      <c r="AN251" s="126"/>
      <c r="AO251" s="125">
        <f>AO250</f>
        <v>-32708.466702651516</v>
      </c>
      <c r="AP251" s="125">
        <f>AP250</f>
        <v>-36633.482706969698</v>
      </c>
      <c r="AQ251" s="125"/>
      <c r="AR251" s="128" t="str">
        <f t="shared" si="316"/>
        <v/>
      </c>
      <c r="AS251" s="129"/>
      <c r="AT251" s="129">
        <f>AL251</f>
        <v>31025.184812499996</v>
      </c>
      <c r="AU251" s="129"/>
      <c r="AV251" s="125">
        <f>AV250</f>
        <v>104615</v>
      </c>
      <c r="AW251" s="125">
        <f t="shared" si="321"/>
        <v>117168.80000000002</v>
      </c>
      <c r="AX251" s="125"/>
      <c r="AY251" s="125"/>
      <c r="AZ251" s="125"/>
      <c r="BA251" s="125"/>
      <c r="BB251" s="125"/>
      <c r="BC251" s="125"/>
      <c r="BD251" s="125"/>
      <c r="BE251" s="125"/>
      <c r="BF251" s="125"/>
      <c r="BG251" s="125"/>
      <c r="BH251" s="125"/>
      <c r="BI251" s="125"/>
      <c r="BJ251" s="125"/>
      <c r="BK251" s="125"/>
      <c r="BL251" s="125"/>
      <c r="BM251" s="208"/>
      <c r="BN251" s="208"/>
      <c r="BO251" s="25"/>
      <c r="BP251" s="25"/>
      <c r="BQ251" s="25"/>
      <c r="BR251" s="208"/>
      <c r="BS251" s="208"/>
      <c r="BT251" s="25"/>
      <c r="BW251" s="25"/>
      <c r="BX251" s="26"/>
    </row>
    <row r="252" spans="1:76" s="204" customFormat="1" x14ac:dyDescent="0.25">
      <c r="A252" s="416"/>
      <c r="B252" s="375"/>
      <c r="C252" s="193" t="s">
        <v>69</v>
      </c>
      <c r="D252" s="193" t="s">
        <v>70</v>
      </c>
      <c r="E252" s="194"/>
      <c r="F252" s="194"/>
      <c r="G252" s="403"/>
      <c r="H252" s="405"/>
      <c r="I252" s="195"/>
      <c r="J252" s="195"/>
      <c r="K252" s="382" t="s">
        <v>142</v>
      </c>
      <c r="L252" s="379" t="s">
        <v>143</v>
      </c>
      <c r="M252" s="372" t="s">
        <v>96</v>
      </c>
      <c r="N252" s="196">
        <f t="shared" si="311"/>
        <v>5273991.6339285709</v>
      </c>
      <c r="O252" s="196">
        <f t="shared" si="311"/>
        <v>5906870.6299999999</v>
      </c>
      <c r="P252" s="196">
        <f t="shared" si="317"/>
        <v>5273991.6339285709</v>
      </c>
      <c r="Q252" s="196">
        <v>5906870.6299999999</v>
      </c>
      <c r="R252" s="369" t="s">
        <v>150</v>
      </c>
      <c r="S252" s="365">
        <v>3</v>
      </c>
      <c r="T252" s="214"/>
      <c r="U252" s="214"/>
      <c r="V252" s="214"/>
      <c r="W252" s="214"/>
      <c r="X252" s="214"/>
      <c r="Y252" s="214"/>
      <c r="Z252" s="198"/>
      <c r="AA252" s="198"/>
      <c r="AB252" s="198"/>
      <c r="AC252" s="198"/>
      <c r="AD252" s="199">
        <f t="shared" si="312"/>
        <v>0</v>
      </c>
      <c r="AE252" s="198"/>
      <c r="AF252" s="198">
        <f t="shared" si="313"/>
        <v>0</v>
      </c>
      <c r="AG252" s="198">
        <f t="shared" si="313"/>
        <v>0</v>
      </c>
      <c r="AH252" s="198">
        <f t="shared" si="313"/>
        <v>0</v>
      </c>
      <c r="AI252" s="198"/>
      <c r="AJ252" s="198"/>
      <c r="AK252" s="198"/>
      <c r="AL252" s="198">
        <f>4944-1</f>
        <v>4943</v>
      </c>
      <c r="AM252" s="199">
        <f t="shared" ref="AM252:AM260" si="323">AL252*1.12</f>
        <v>5536.1600000000008</v>
      </c>
      <c r="AN252" s="198">
        <f>3</f>
        <v>3</v>
      </c>
      <c r="AO252" s="199">
        <f>AL252-$AI$243/$AK$243*AN252+AQ252*$AI$243/$AK$243</f>
        <v>-1650.1363636363631</v>
      </c>
      <c r="AP252" s="199">
        <f>AO252*1.12</f>
        <v>-1848.1527272727269</v>
      </c>
      <c r="AQ252" s="199">
        <f>AN252-(3+0)</f>
        <v>0</v>
      </c>
      <c r="AR252" s="200" t="str">
        <f t="shared" si="316"/>
        <v/>
      </c>
      <c r="AS252" s="201"/>
      <c r="AT252" s="201"/>
      <c r="AU252" s="201"/>
      <c r="AV252" s="199"/>
      <c r="AW252" s="199">
        <f>AV252*1.12</f>
        <v>0</v>
      </c>
      <c r="AX252" s="199"/>
      <c r="AY252" s="199"/>
      <c r="AZ252" s="199">
        <f>AL252-$AI$243/$AK$243*AN252</f>
        <v>-1650.1363636363631</v>
      </c>
      <c r="BA252" s="199"/>
      <c r="BB252" s="199"/>
      <c r="BC252" s="199"/>
      <c r="BD252" s="199"/>
      <c r="BE252" s="199"/>
      <c r="BF252" s="199">
        <f>AQ252*$AI$243/$AK$243</f>
        <v>0</v>
      </c>
      <c r="BG252" s="199"/>
      <c r="BH252" s="199"/>
      <c r="BI252" s="199"/>
      <c r="BJ252" s="199"/>
      <c r="BK252" s="199"/>
      <c r="BL252" s="199"/>
      <c r="BM252" s="202"/>
      <c r="BN252" s="202"/>
      <c r="BO252" s="202"/>
      <c r="BP252" s="202"/>
      <c r="BQ252" s="202"/>
      <c r="BR252" s="202"/>
      <c r="BS252" s="202"/>
      <c r="BT252" s="202"/>
      <c r="BW252" s="202"/>
      <c r="BX252" s="205"/>
    </row>
    <row r="253" spans="1:76" s="97" customFormat="1" x14ac:dyDescent="0.25">
      <c r="A253" s="416"/>
      <c r="B253" s="375"/>
      <c r="C253" s="117" t="s">
        <v>71</v>
      </c>
      <c r="D253" s="117" t="s">
        <v>72</v>
      </c>
      <c r="E253" s="163"/>
      <c r="F253" s="163"/>
      <c r="G253" s="403"/>
      <c r="H253" s="405"/>
      <c r="I253" s="161"/>
      <c r="J253" s="161"/>
      <c r="K253" s="383"/>
      <c r="L253" s="380"/>
      <c r="M253" s="373"/>
      <c r="N253" s="120">
        <f t="shared" si="311"/>
        <v>5273991.6339285709</v>
      </c>
      <c r="O253" s="120">
        <f t="shared" si="311"/>
        <v>5906870.6299999999</v>
      </c>
      <c r="P253" s="120">
        <f t="shared" si="317"/>
        <v>5273991.6339285709</v>
      </c>
      <c r="Q253" s="120">
        <f>Q252</f>
        <v>5906870.6299999999</v>
      </c>
      <c r="R253" s="369"/>
      <c r="S253" s="365"/>
      <c r="T253" s="206"/>
      <c r="U253" s="206"/>
      <c r="V253" s="206"/>
      <c r="W253" s="206"/>
      <c r="X253" s="206"/>
      <c r="Y253" s="206"/>
      <c r="Z253" s="119"/>
      <c r="AA253" s="119"/>
      <c r="AB253" s="119"/>
      <c r="AC253" s="119"/>
      <c r="AD253" s="118">
        <f t="shared" si="312"/>
        <v>0</v>
      </c>
      <c r="AE253" s="119"/>
      <c r="AF253" s="119">
        <f t="shared" si="313"/>
        <v>0</v>
      </c>
      <c r="AG253" s="119">
        <f t="shared" si="313"/>
        <v>0</v>
      </c>
      <c r="AH253" s="119"/>
      <c r="AI253" s="119"/>
      <c r="AJ253" s="119">
        <f>AI253*1.12</f>
        <v>0</v>
      </c>
      <c r="AK253" s="119"/>
      <c r="AL253" s="119">
        <f>4991.55471/1.12</f>
        <v>4456.7452767857139</v>
      </c>
      <c r="AM253" s="118">
        <f t="shared" si="323"/>
        <v>4991.5547100000003</v>
      </c>
      <c r="AN253" s="119"/>
      <c r="AO253" s="118">
        <f>AL253-$AI$244/$AK$243*AN252+AQ252*$AI$244/$AK$243</f>
        <v>-2136.3910868506491</v>
      </c>
      <c r="AP253" s="118">
        <f>AO253*1.12</f>
        <v>-2392.7580172727271</v>
      </c>
      <c r="AQ253" s="118"/>
      <c r="AR253" s="121" t="str">
        <f t="shared" si="316"/>
        <v/>
      </c>
      <c r="AS253" s="122"/>
      <c r="AT253" s="122">
        <f>AL253</f>
        <v>4456.7452767857139</v>
      </c>
      <c r="AU253" s="122"/>
      <c r="AV253" s="118">
        <f>AL253</f>
        <v>4456.7452767857139</v>
      </c>
      <c r="AW253" s="118">
        <f t="shared" ref="AW253:AW254" si="324">AV253*1.12</f>
        <v>4991.5547100000003</v>
      </c>
      <c r="AX253" s="118"/>
      <c r="AY253" s="118"/>
      <c r="AZ253" s="118"/>
      <c r="BA253" s="118"/>
      <c r="BB253" s="118"/>
      <c r="BC253" s="118"/>
      <c r="BD253" s="118"/>
      <c r="BE253" s="118"/>
      <c r="BF253" s="118"/>
      <c r="BG253" s="118"/>
      <c r="BH253" s="118"/>
      <c r="BI253" s="118"/>
      <c r="BJ253" s="118"/>
      <c r="BK253" s="118"/>
      <c r="BL253" s="118"/>
      <c r="BM253" s="100"/>
      <c r="BN253" s="100"/>
      <c r="BO253" s="100"/>
      <c r="BP253" s="100"/>
      <c r="BQ253" s="100"/>
      <c r="BR253" s="100"/>
      <c r="BS253" s="100"/>
      <c r="BT253" s="100"/>
      <c r="BU253" s="97">
        <v>31030466.559999999</v>
      </c>
      <c r="BW253" s="100"/>
      <c r="BX253" s="101"/>
    </row>
    <row r="254" spans="1:76" x14ac:dyDescent="0.25">
      <c r="A254" s="416"/>
      <c r="B254" s="375"/>
      <c r="C254" s="124" t="s">
        <v>71</v>
      </c>
      <c r="D254" s="124" t="s">
        <v>73</v>
      </c>
      <c r="E254" s="167"/>
      <c r="F254" s="167"/>
      <c r="G254" s="403"/>
      <c r="H254" s="405"/>
      <c r="I254" s="166"/>
      <c r="J254" s="166"/>
      <c r="K254" s="384"/>
      <c r="L254" s="381"/>
      <c r="M254" s="374"/>
      <c r="N254" s="127">
        <f t="shared" si="311"/>
        <v>5273991.6339285709</v>
      </c>
      <c r="O254" s="127">
        <f t="shared" si="311"/>
        <v>5906870.6299999999</v>
      </c>
      <c r="P254" s="127">
        <f t="shared" si="317"/>
        <v>5273991.6339285709</v>
      </c>
      <c r="Q254" s="232">
        <f>Q253</f>
        <v>5906870.6299999999</v>
      </c>
      <c r="R254" s="369"/>
      <c r="S254" s="365"/>
      <c r="T254" s="37"/>
      <c r="U254" s="37"/>
      <c r="V254" s="37"/>
      <c r="W254" s="37"/>
      <c r="X254" s="37"/>
      <c r="Y254" s="37"/>
      <c r="Z254" s="126"/>
      <c r="AA254" s="126"/>
      <c r="AB254" s="126"/>
      <c r="AC254" s="126">
        <f t="shared" ref="AC254" si="325">AC253</f>
        <v>0</v>
      </c>
      <c r="AD254" s="125">
        <f t="shared" si="312"/>
        <v>0</v>
      </c>
      <c r="AE254" s="126"/>
      <c r="AF254" s="126">
        <f t="shared" si="313"/>
        <v>0</v>
      </c>
      <c r="AG254" s="126">
        <f t="shared" si="313"/>
        <v>0</v>
      </c>
      <c r="AH254" s="126"/>
      <c r="AI254" s="126">
        <f>AI253</f>
        <v>0</v>
      </c>
      <c r="AJ254" s="126">
        <f>AJ253</f>
        <v>0</v>
      </c>
      <c r="AK254" s="126"/>
      <c r="AL254" s="126">
        <f>AL253</f>
        <v>4456.7452767857139</v>
      </c>
      <c r="AM254" s="125">
        <f t="shared" si="323"/>
        <v>4991.5547100000003</v>
      </c>
      <c r="AN254" s="126"/>
      <c r="AO254" s="125">
        <f>AO253</f>
        <v>-2136.3910868506491</v>
      </c>
      <c r="AP254" s="125">
        <f>AP253</f>
        <v>-2392.7580172727271</v>
      </c>
      <c r="AQ254" s="125"/>
      <c r="AR254" s="128" t="str">
        <f t="shared" si="316"/>
        <v/>
      </c>
      <c r="AS254" s="129"/>
      <c r="AT254" s="129">
        <f>AL254</f>
        <v>4456.7452767857139</v>
      </c>
      <c r="AU254" s="129"/>
      <c r="AV254" s="125">
        <f>AL254</f>
        <v>4456.7452767857139</v>
      </c>
      <c r="AW254" s="125">
        <f t="shared" si="324"/>
        <v>4991.5547100000003</v>
      </c>
      <c r="AX254" s="125"/>
      <c r="AY254" s="125"/>
      <c r="AZ254" s="125"/>
      <c r="BA254" s="125"/>
      <c r="BB254" s="125"/>
      <c r="BC254" s="125"/>
      <c r="BD254" s="125"/>
      <c r="BE254" s="125"/>
      <c r="BF254" s="125"/>
      <c r="BG254" s="125"/>
      <c r="BH254" s="125"/>
      <c r="BI254" s="125"/>
      <c r="BJ254" s="125"/>
      <c r="BK254" s="125"/>
      <c r="BL254" s="125"/>
      <c r="BM254" s="25"/>
      <c r="BN254" s="25"/>
      <c r="BO254" s="25"/>
      <c r="BP254" s="25"/>
      <c r="BQ254" s="25"/>
      <c r="BR254" s="25"/>
      <c r="BS254" s="25"/>
      <c r="BT254" s="25"/>
      <c r="BW254" s="25"/>
      <c r="BX254" s="26"/>
    </row>
    <row r="255" spans="1:76" s="204" customFormat="1" x14ac:dyDescent="0.25">
      <c r="A255" s="416"/>
      <c r="B255" s="375"/>
      <c r="C255" s="193" t="s">
        <v>69</v>
      </c>
      <c r="D255" s="193" t="s">
        <v>70</v>
      </c>
      <c r="E255" s="194"/>
      <c r="F255" s="194"/>
      <c r="G255" s="403"/>
      <c r="H255" s="405"/>
      <c r="I255" s="195"/>
      <c r="J255" s="195"/>
      <c r="K255" s="370" t="s">
        <v>115</v>
      </c>
      <c r="L255" s="423" t="s">
        <v>144</v>
      </c>
      <c r="M255" s="406" t="s">
        <v>96</v>
      </c>
      <c r="N255" s="196">
        <f t="shared" si="311"/>
        <v>19337969</v>
      </c>
      <c r="O255" s="196">
        <f t="shared" si="311"/>
        <v>21658525.280000001</v>
      </c>
      <c r="P255" s="196">
        <f>Q255/1.12</f>
        <v>19337969</v>
      </c>
      <c r="Q255" s="196">
        <v>21658525.280000001</v>
      </c>
      <c r="R255" s="369" t="s">
        <v>150</v>
      </c>
      <c r="S255" s="365">
        <v>11</v>
      </c>
      <c r="T255" s="214"/>
      <c r="U255" s="214"/>
      <c r="V255" s="214"/>
      <c r="W255" s="214"/>
      <c r="X255" s="214"/>
      <c r="Y255" s="214"/>
      <c r="Z255" s="198"/>
      <c r="AA255" s="198"/>
      <c r="AB255" s="198"/>
      <c r="AC255" s="198"/>
      <c r="AD255" s="199">
        <f t="shared" si="312"/>
        <v>0</v>
      </c>
      <c r="AE255" s="198"/>
      <c r="AF255" s="198">
        <f t="shared" si="313"/>
        <v>0</v>
      </c>
      <c r="AG255" s="198">
        <f t="shared" si="313"/>
        <v>0</v>
      </c>
      <c r="AH255" s="198">
        <f t="shared" si="313"/>
        <v>0</v>
      </c>
      <c r="AI255" s="198"/>
      <c r="AJ255" s="198"/>
      <c r="AK255" s="198"/>
      <c r="AL255" s="198">
        <f>4245+3793+8037-1-4455</f>
        <v>11619</v>
      </c>
      <c r="AM255" s="199">
        <f t="shared" si="323"/>
        <v>13013.28</v>
      </c>
      <c r="AN255" s="198">
        <f>3+4+4</f>
        <v>11</v>
      </c>
      <c r="AO255" s="199">
        <f>AL255-$AI$243/$AK$243*AN255+AQ255*$AI$243/$AK$243</f>
        <v>-12555.833333333332</v>
      </c>
      <c r="AP255" s="199">
        <f>AO255*1.12</f>
        <v>-14062.533333333333</v>
      </c>
      <c r="AQ255" s="199">
        <f>AN255-(3+4+4)</f>
        <v>0</v>
      </c>
      <c r="AR255" s="200" t="str">
        <f t="shared" si="316"/>
        <v/>
      </c>
      <c r="AS255" s="201"/>
      <c r="AT255" s="201"/>
      <c r="AU255" s="201"/>
      <c r="AV255" s="199"/>
      <c r="AW255" s="199">
        <f>AV255*1.12</f>
        <v>0</v>
      </c>
      <c r="AX255" s="199"/>
      <c r="AY255" s="199"/>
      <c r="AZ255" s="199">
        <f>AL255-$AI$243/$AK$243*AN255</f>
        <v>-12555.833333333332</v>
      </c>
      <c r="BA255" s="199"/>
      <c r="BB255" s="199"/>
      <c r="BC255" s="199"/>
      <c r="BD255" s="199"/>
      <c r="BE255" s="199"/>
      <c r="BF255" s="199"/>
      <c r="BG255" s="199"/>
      <c r="BH255" s="199"/>
      <c r="BI255" s="199"/>
      <c r="BJ255" s="199"/>
      <c r="BK255" s="199"/>
      <c r="BL255" s="199"/>
      <c r="BM255" s="202"/>
      <c r="BN255" s="202"/>
      <c r="BO255" s="202"/>
      <c r="BP255" s="202"/>
      <c r="BQ255" s="202"/>
      <c r="BR255" s="202"/>
      <c r="BS255" s="202"/>
      <c r="BT255" s="202"/>
      <c r="BW255" s="202"/>
      <c r="BX255" s="205"/>
    </row>
    <row r="256" spans="1:76" s="97" customFormat="1" x14ac:dyDescent="0.25">
      <c r="A256" s="416"/>
      <c r="B256" s="375"/>
      <c r="C256" s="117" t="s">
        <v>71</v>
      </c>
      <c r="D256" s="117" t="s">
        <v>72</v>
      </c>
      <c r="E256" s="163"/>
      <c r="F256" s="163"/>
      <c r="G256" s="403"/>
      <c r="H256" s="405"/>
      <c r="I256" s="161"/>
      <c r="J256" s="161"/>
      <c r="K256" s="370"/>
      <c r="L256" s="424"/>
      <c r="M256" s="406"/>
      <c r="N256" s="120">
        <f t="shared" si="311"/>
        <v>19337969</v>
      </c>
      <c r="O256" s="120">
        <f t="shared" si="311"/>
        <v>21658525.280000001</v>
      </c>
      <c r="P256" s="120">
        <f t="shared" ref="P256:P257" si="326">Q256/1.12</f>
        <v>19337969</v>
      </c>
      <c r="Q256" s="120">
        <f>Q255</f>
        <v>21658525.280000001</v>
      </c>
      <c r="R256" s="369"/>
      <c r="S256" s="365"/>
      <c r="T256" s="206"/>
      <c r="U256" s="206"/>
      <c r="V256" s="206"/>
      <c r="W256" s="206"/>
      <c r="X256" s="206"/>
      <c r="Y256" s="206"/>
      <c r="Z256" s="119"/>
      <c r="AA256" s="119"/>
      <c r="AB256" s="119"/>
      <c r="AC256" s="119"/>
      <c r="AD256" s="118">
        <f t="shared" si="312"/>
        <v>0</v>
      </c>
      <c r="AE256" s="119"/>
      <c r="AF256" s="119">
        <f t="shared" si="313"/>
        <v>0</v>
      </c>
      <c r="AG256" s="119">
        <f t="shared" si="313"/>
        <v>0</v>
      </c>
      <c r="AH256" s="119"/>
      <c r="AI256" s="119"/>
      <c r="AJ256" s="119">
        <f>AI256*1.12</f>
        <v>0</v>
      </c>
      <c r="AK256" s="119"/>
      <c r="AL256" s="119">
        <f>3586.99152/1.12+3446.28032/1.12+3372.66048/1.12</f>
        <v>9291.0109999999986</v>
      </c>
      <c r="AM256" s="118">
        <f t="shared" si="323"/>
        <v>10405.93232</v>
      </c>
      <c r="AN256" s="119"/>
      <c r="AO256" s="118">
        <f>AL256-$AI$244/$AK$243*AN255+AQ255*$AI$244/$AK$243</f>
        <v>-14883.822333333334</v>
      </c>
      <c r="AP256" s="118">
        <f>AO256*1.12</f>
        <v>-16669.881013333335</v>
      </c>
      <c r="AQ256" s="118"/>
      <c r="AR256" s="121" t="str">
        <f t="shared" si="316"/>
        <v/>
      </c>
      <c r="AS256" s="122"/>
      <c r="AT256" s="122">
        <f>AL256</f>
        <v>9291.0109999999986</v>
      </c>
      <c r="AU256" s="122"/>
      <c r="AV256" s="118">
        <f>AL256</f>
        <v>9291.0109999999986</v>
      </c>
      <c r="AW256" s="118">
        <f t="shared" ref="AW256:AW257" si="327">AV256*1.12</f>
        <v>10405.93232</v>
      </c>
      <c r="AX256" s="118"/>
      <c r="AY256" s="118"/>
      <c r="AZ256" s="118"/>
      <c r="BA256" s="118"/>
      <c r="BB256" s="118"/>
      <c r="BC256" s="118"/>
      <c r="BD256" s="118"/>
      <c r="BE256" s="118"/>
      <c r="BF256" s="118"/>
      <c r="BG256" s="118"/>
      <c r="BH256" s="118"/>
      <c r="BI256" s="118"/>
      <c r="BJ256" s="118"/>
      <c r="BK256" s="118"/>
      <c r="BL256" s="118"/>
      <c r="BM256" s="100"/>
      <c r="BN256" s="100"/>
      <c r="BO256" s="100"/>
      <c r="BP256" s="100"/>
      <c r="BQ256" s="100"/>
      <c r="BR256" s="100"/>
      <c r="BS256" s="100"/>
      <c r="BT256" s="100"/>
      <c r="BU256" s="97">
        <v>16411374.199999999</v>
      </c>
      <c r="BW256" s="100"/>
      <c r="BX256" s="101"/>
    </row>
    <row r="257" spans="1:76" x14ac:dyDescent="0.25">
      <c r="A257" s="416"/>
      <c r="B257" s="375"/>
      <c r="C257" s="124" t="s">
        <v>71</v>
      </c>
      <c r="D257" s="124" t="s">
        <v>73</v>
      </c>
      <c r="E257" s="167"/>
      <c r="F257" s="167"/>
      <c r="G257" s="403"/>
      <c r="H257" s="405"/>
      <c r="I257" s="166"/>
      <c r="J257" s="166"/>
      <c r="K257" s="370"/>
      <c r="L257" s="425"/>
      <c r="M257" s="406"/>
      <c r="N257" s="127">
        <f t="shared" si="311"/>
        <v>19337969</v>
      </c>
      <c r="O257" s="127">
        <f t="shared" si="311"/>
        <v>21658525.280000001</v>
      </c>
      <c r="P257" s="127">
        <f t="shared" si="326"/>
        <v>19337969</v>
      </c>
      <c r="Q257" s="127">
        <f>Q256</f>
        <v>21658525.280000001</v>
      </c>
      <c r="R257" s="369"/>
      <c r="S257" s="365"/>
      <c r="T257" s="37"/>
      <c r="U257" s="37"/>
      <c r="V257" s="37"/>
      <c r="W257" s="37"/>
      <c r="X257" s="37"/>
      <c r="Y257" s="37"/>
      <c r="Z257" s="126"/>
      <c r="AA257" s="126"/>
      <c r="AB257" s="126"/>
      <c r="AC257" s="126">
        <f t="shared" ref="AC257" si="328">AC256</f>
        <v>0</v>
      </c>
      <c r="AD257" s="125">
        <f t="shared" si="312"/>
        <v>0</v>
      </c>
      <c r="AE257" s="126"/>
      <c r="AF257" s="126">
        <f t="shared" si="313"/>
        <v>0</v>
      </c>
      <c r="AG257" s="126">
        <f t="shared" si="313"/>
        <v>0</v>
      </c>
      <c r="AH257" s="126"/>
      <c r="AI257" s="126">
        <f>AI256</f>
        <v>0</v>
      </c>
      <c r="AJ257" s="126">
        <f>AJ256</f>
        <v>0</v>
      </c>
      <c r="AK257" s="126"/>
      <c r="AL257" s="126">
        <f>AL256</f>
        <v>9291.0109999999986</v>
      </c>
      <c r="AM257" s="125">
        <f t="shared" si="323"/>
        <v>10405.93232</v>
      </c>
      <c r="AN257" s="126"/>
      <c r="AO257" s="125">
        <f>AO256</f>
        <v>-14883.822333333334</v>
      </c>
      <c r="AP257" s="125">
        <f>AP256</f>
        <v>-16669.881013333335</v>
      </c>
      <c r="AQ257" s="125"/>
      <c r="AR257" s="128" t="str">
        <f t="shared" si="316"/>
        <v/>
      </c>
      <c r="AS257" s="129"/>
      <c r="AT257" s="129">
        <f>AL257</f>
        <v>9291.0109999999986</v>
      </c>
      <c r="AU257" s="129"/>
      <c r="AV257" s="125">
        <f>AL257</f>
        <v>9291.0109999999986</v>
      </c>
      <c r="AW257" s="125">
        <f t="shared" si="327"/>
        <v>10405.93232</v>
      </c>
      <c r="AX257" s="125"/>
      <c r="AY257" s="125"/>
      <c r="AZ257" s="125"/>
      <c r="BA257" s="125"/>
      <c r="BB257" s="125"/>
      <c r="BC257" s="125"/>
      <c r="BD257" s="125"/>
      <c r="BE257" s="125"/>
      <c r="BF257" s="125"/>
      <c r="BG257" s="125"/>
      <c r="BH257" s="125"/>
      <c r="BI257" s="125"/>
      <c r="BJ257" s="125"/>
      <c r="BK257" s="125"/>
      <c r="BL257" s="125"/>
      <c r="BM257" s="25"/>
      <c r="BN257" s="25"/>
      <c r="BO257" s="25"/>
      <c r="BP257" s="25"/>
      <c r="BQ257" s="25"/>
      <c r="BR257" s="25"/>
      <c r="BS257" s="25"/>
      <c r="BT257" s="25"/>
      <c r="BW257" s="25"/>
      <c r="BX257" s="26"/>
    </row>
    <row r="258" spans="1:76" s="204" customFormat="1" ht="17.25" hidden="1" customHeight="1" outlineLevel="1" x14ac:dyDescent="0.25">
      <c r="A258" s="416"/>
      <c r="B258" s="375"/>
      <c r="C258" s="193" t="s">
        <v>69</v>
      </c>
      <c r="D258" s="193" t="s">
        <v>70</v>
      </c>
      <c r="E258" s="194"/>
      <c r="F258" s="194"/>
      <c r="G258" s="403"/>
      <c r="H258" s="405"/>
      <c r="I258" s="195"/>
      <c r="J258" s="195"/>
      <c r="K258" s="359"/>
      <c r="L258" s="369"/>
      <c r="M258" s="406" t="s">
        <v>96</v>
      </c>
      <c r="N258" s="196">
        <f t="shared" si="311"/>
        <v>0</v>
      </c>
      <c r="O258" s="196">
        <f t="shared" si="311"/>
        <v>0</v>
      </c>
      <c r="P258" s="196">
        <f>Q258/1.12</f>
        <v>0</v>
      </c>
      <c r="Q258" s="196"/>
      <c r="R258" s="369"/>
      <c r="S258" s="365"/>
      <c r="T258" s="214"/>
      <c r="U258" s="214"/>
      <c r="V258" s="214"/>
      <c r="W258" s="214"/>
      <c r="X258" s="214"/>
      <c r="Y258" s="214"/>
      <c r="Z258" s="198"/>
      <c r="AA258" s="198"/>
      <c r="AB258" s="198"/>
      <c r="AC258" s="198"/>
      <c r="AD258" s="199">
        <f t="shared" si="312"/>
        <v>0</v>
      </c>
      <c r="AE258" s="198"/>
      <c r="AF258" s="198">
        <f t="shared" si="313"/>
        <v>0</v>
      </c>
      <c r="AG258" s="198">
        <f t="shared" si="313"/>
        <v>0</v>
      </c>
      <c r="AH258" s="198">
        <f t="shared" si="313"/>
        <v>0</v>
      </c>
      <c r="AI258" s="198"/>
      <c r="AJ258" s="198"/>
      <c r="AK258" s="198"/>
      <c r="AL258" s="198"/>
      <c r="AM258" s="199">
        <f t="shared" si="323"/>
        <v>0</v>
      </c>
      <c r="AN258" s="198"/>
      <c r="AO258" s="199">
        <f>AL258-AI258</f>
        <v>0</v>
      </c>
      <c r="AP258" s="199">
        <f>AO258*1.12</f>
        <v>0</v>
      </c>
      <c r="AQ258" s="199">
        <f t="shared" ref="AQ258" si="329">AN258-AK258</f>
        <v>0</v>
      </c>
      <c r="AR258" s="200" t="str">
        <f t="shared" si="316"/>
        <v/>
      </c>
      <c r="AS258" s="201"/>
      <c r="AT258" s="201"/>
      <c r="AU258" s="201"/>
      <c r="AV258" s="199"/>
      <c r="AW258" s="199">
        <f>AV258*1.12</f>
        <v>0</v>
      </c>
      <c r="AX258" s="199"/>
      <c r="AY258" s="199"/>
      <c r="AZ258" s="199"/>
      <c r="BA258" s="199"/>
      <c r="BB258" s="199"/>
      <c r="BC258" s="199"/>
      <c r="BD258" s="199"/>
      <c r="BE258" s="199"/>
      <c r="BF258" s="237"/>
      <c r="BG258" s="199"/>
      <c r="BH258" s="199"/>
      <c r="BI258" s="199"/>
      <c r="BJ258" s="199"/>
      <c r="BK258" s="199"/>
      <c r="BL258" s="199"/>
      <c r="BM258" s="202"/>
      <c r="BN258" s="202"/>
      <c r="BO258" s="202"/>
      <c r="BP258" s="202"/>
      <c r="BQ258" s="202"/>
      <c r="BR258" s="202"/>
      <c r="BS258" s="202"/>
      <c r="BT258" s="202"/>
      <c r="BW258" s="202"/>
      <c r="BX258" s="205"/>
    </row>
    <row r="259" spans="1:76" s="97" customFormat="1" ht="17.25" hidden="1" customHeight="1" outlineLevel="1" x14ac:dyDescent="0.25">
      <c r="A259" s="416"/>
      <c r="B259" s="375"/>
      <c r="C259" s="117" t="s">
        <v>71</v>
      </c>
      <c r="D259" s="117" t="s">
        <v>72</v>
      </c>
      <c r="E259" s="163"/>
      <c r="F259" s="163"/>
      <c r="G259" s="403"/>
      <c r="H259" s="405"/>
      <c r="I259" s="161"/>
      <c r="J259" s="161"/>
      <c r="K259" s="371"/>
      <c r="L259" s="369"/>
      <c r="M259" s="406"/>
      <c r="N259" s="120">
        <f t="shared" si="311"/>
        <v>0</v>
      </c>
      <c r="O259" s="120">
        <f t="shared" si="311"/>
        <v>0</v>
      </c>
      <c r="P259" s="120">
        <f t="shared" ref="P259:P260" si="330">Q259/1.12</f>
        <v>0</v>
      </c>
      <c r="Q259" s="120">
        <f>Q258</f>
        <v>0</v>
      </c>
      <c r="R259" s="369"/>
      <c r="S259" s="365"/>
      <c r="T259" s="206"/>
      <c r="U259" s="206"/>
      <c r="V259" s="206"/>
      <c r="W259" s="206"/>
      <c r="X259" s="206"/>
      <c r="Y259" s="206"/>
      <c r="Z259" s="119"/>
      <c r="AA259" s="119"/>
      <c r="AB259" s="119"/>
      <c r="AC259" s="119"/>
      <c r="AD259" s="118">
        <f t="shared" si="312"/>
        <v>0</v>
      </c>
      <c r="AE259" s="119"/>
      <c r="AF259" s="119">
        <f t="shared" si="313"/>
        <v>0</v>
      </c>
      <c r="AG259" s="119">
        <f t="shared" si="313"/>
        <v>0</v>
      </c>
      <c r="AH259" s="119"/>
      <c r="AI259" s="119"/>
      <c r="AJ259" s="119"/>
      <c r="AK259" s="119"/>
      <c r="AL259" s="119"/>
      <c r="AM259" s="118">
        <f t="shared" si="323"/>
        <v>0</v>
      </c>
      <c r="AN259" s="119"/>
      <c r="AO259" s="118">
        <f>AL259-AI259</f>
        <v>0</v>
      </c>
      <c r="AP259" s="118">
        <f>AO259*1.12</f>
        <v>0</v>
      </c>
      <c r="AQ259" s="118"/>
      <c r="AR259" s="121" t="str">
        <f t="shared" si="316"/>
        <v/>
      </c>
      <c r="AS259" s="122"/>
      <c r="AT259" s="122">
        <f>AL259</f>
        <v>0</v>
      </c>
      <c r="AU259" s="122"/>
      <c r="AV259" s="118">
        <f>AL259</f>
        <v>0</v>
      </c>
      <c r="AW259" s="118">
        <f t="shared" ref="AW259:AW260" si="331">AV259*1.12</f>
        <v>0</v>
      </c>
      <c r="AX259" s="118"/>
      <c r="AY259" s="118"/>
      <c r="AZ259" s="118"/>
      <c r="BA259" s="118"/>
      <c r="BB259" s="118"/>
      <c r="BC259" s="118"/>
      <c r="BD259" s="118"/>
      <c r="BE259" s="118"/>
      <c r="BF259" s="118"/>
      <c r="BG259" s="118"/>
      <c r="BH259" s="118"/>
      <c r="BI259" s="118"/>
      <c r="BJ259" s="118"/>
      <c r="BK259" s="118"/>
      <c r="BL259" s="118"/>
      <c r="BM259" s="100"/>
      <c r="BN259" s="100"/>
      <c r="BO259" s="100"/>
      <c r="BP259" s="100"/>
      <c r="BQ259" s="100"/>
      <c r="BR259" s="100"/>
      <c r="BS259" s="100"/>
      <c r="BT259" s="100"/>
      <c r="BU259" s="97">
        <v>11562480</v>
      </c>
      <c r="BW259" s="100"/>
      <c r="BX259" s="101"/>
    </row>
    <row r="260" spans="1:76" ht="17.25" hidden="1" customHeight="1" outlineLevel="1" x14ac:dyDescent="0.25">
      <c r="A260" s="356"/>
      <c r="B260" s="354"/>
      <c r="C260" s="124" t="s">
        <v>71</v>
      </c>
      <c r="D260" s="124" t="s">
        <v>73</v>
      </c>
      <c r="E260" s="167"/>
      <c r="F260" s="167"/>
      <c r="G260" s="414"/>
      <c r="H260" s="415"/>
      <c r="I260" s="166"/>
      <c r="J260" s="166"/>
      <c r="K260" s="360"/>
      <c r="L260" s="369"/>
      <c r="M260" s="406"/>
      <c r="N260" s="127">
        <f t="shared" si="311"/>
        <v>0</v>
      </c>
      <c r="O260" s="127">
        <f t="shared" si="311"/>
        <v>0</v>
      </c>
      <c r="P260" s="127">
        <f t="shared" si="330"/>
        <v>0</v>
      </c>
      <c r="Q260" s="127">
        <f>Q259</f>
        <v>0</v>
      </c>
      <c r="R260" s="369"/>
      <c r="S260" s="365"/>
      <c r="T260" s="37"/>
      <c r="U260" s="37"/>
      <c r="V260" s="37"/>
      <c r="W260" s="37"/>
      <c r="X260" s="37"/>
      <c r="Y260" s="37"/>
      <c r="Z260" s="126"/>
      <c r="AA260" s="126"/>
      <c r="AB260" s="126"/>
      <c r="AC260" s="126">
        <f t="shared" ref="AC260" si="332">AC259</f>
        <v>0</v>
      </c>
      <c r="AD260" s="125">
        <f t="shared" si="312"/>
        <v>0</v>
      </c>
      <c r="AE260" s="126"/>
      <c r="AF260" s="126">
        <f t="shared" si="313"/>
        <v>0</v>
      </c>
      <c r="AG260" s="126">
        <f t="shared" si="313"/>
        <v>0</v>
      </c>
      <c r="AH260" s="126"/>
      <c r="AI260" s="126"/>
      <c r="AJ260" s="126"/>
      <c r="AK260" s="126"/>
      <c r="AL260" s="126">
        <f>AL259</f>
        <v>0</v>
      </c>
      <c r="AM260" s="125">
        <f t="shared" si="323"/>
        <v>0</v>
      </c>
      <c r="AN260" s="126"/>
      <c r="AO260" s="125">
        <f>AO259</f>
        <v>0</v>
      </c>
      <c r="AP260" s="125">
        <f>AP259</f>
        <v>0</v>
      </c>
      <c r="AQ260" s="125"/>
      <c r="AR260" s="128" t="str">
        <f t="shared" si="316"/>
        <v/>
      </c>
      <c r="AS260" s="129"/>
      <c r="AT260" s="129">
        <f>AL260</f>
        <v>0</v>
      </c>
      <c r="AU260" s="129"/>
      <c r="AV260" s="125">
        <f>AL260</f>
        <v>0</v>
      </c>
      <c r="AW260" s="125">
        <f t="shared" si="331"/>
        <v>0</v>
      </c>
      <c r="AX260" s="125"/>
      <c r="AY260" s="125"/>
      <c r="AZ260" s="125"/>
      <c r="BA260" s="125"/>
      <c r="BB260" s="125"/>
      <c r="BC260" s="125"/>
      <c r="BD260" s="125"/>
      <c r="BE260" s="125"/>
      <c r="BF260" s="125"/>
      <c r="BG260" s="125"/>
      <c r="BH260" s="125"/>
      <c r="BI260" s="125"/>
      <c r="BJ260" s="125"/>
      <c r="BK260" s="125"/>
      <c r="BL260" s="125"/>
      <c r="BM260" s="25"/>
      <c r="BN260" s="25"/>
      <c r="BO260" s="25"/>
      <c r="BP260" s="25"/>
      <c r="BQ260" s="25"/>
      <c r="BR260" s="25"/>
      <c r="BS260" s="25"/>
      <c r="BT260" s="25"/>
      <c r="BW260" s="25"/>
      <c r="BX260" s="26"/>
    </row>
    <row r="261" spans="1:76" s="189" customFormat="1" ht="12.75" customHeight="1" collapsed="1" x14ac:dyDescent="0.25">
      <c r="A261" s="355">
        <v>5</v>
      </c>
      <c r="B261" s="391" t="s">
        <v>151</v>
      </c>
      <c r="C261" s="180"/>
      <c r="D261" s="180"/>
      <c r="E261" s="182">
        <f>E263+E266+E269+E272+E275+E278</f>
        <v>235144</v>
      </c>
      <c r="F261" s="182">
        <f>F263+F266+F269+F272+F275+F278</f>
        <v>263361.28000000003</v>
      </c>
      <c r="G261" s="191"/>
      <c r="H261" s="209">
        <f>H263</f>
        <v>99</v>
      </c>
      <c r="I261" s="182">
        <f>I263+I266+I269+I272+I275+I278</f>
        <v>235144</v>
      </c>
      <c r="J261" s="182">
        <f>J263+J266+J269+J272+J275+J278</f>
        <v>263361.28000000003</v>
      </c>
      <c r="K261" s="407" t="s">
        <v>152</v>
      </c>
      <c r="L261" s="408"/>
      <c r="M261" s="411" t="s">
        <v>96</v>
      </c>
      <c r="N261" s="183">
        <f t="shared" ref="N261:Q262" si="333">N263+N266+N269+N272+N275+N278</f>
        <v>192263645.37499997</v>
      </c>
      <c r="O261" s="234">
        <f t="shared" si="333"/>
        <v>215335282.81999999</v>
      </c>
      <c r="P261" s="183">
        <f t="shared" si="333"/>
        <v>192263645.37499997</v>
      </c>
      <c r="Q261" s="234">
        <f t="shared" si="333"/>
        <v>215335282.81999999</v>
      </c>
      <c r="R261" s="210"/>
      <c r="S261" s="426">
        <f>S263+S266+S269+S272+S275+S278</f>
        <v>99</v>
      </c>
      <c r="T261" s="192">
        <f>T263+T266+T269+T272+T275+T278</f>
        <v>0</v>
      </c>
      <c r="U261" s="192">
        <f t="shared" ref="U261:AH262" si="334">U263+U266+U269+U272+U275+U278</f>
        <v>0</v>
      </c>
      <c r="V261" s="192">
        <f t="shared" si="334"/>
        <v>0</v>
      </c>
      <c r="W261" s="192">
        <f t="shared" si="334"/>
        <v>0</v>
      </c>
      <c r="X261" s="192">
        <f t="shared" si="334"/>
        <v>0</v>
      </c>
      <c r="Y261" s="192">
        <f t="shared" si="334"/>
        <v>0</v>
      </c>
      <c r="Z261" s="192">
        <f t="shared" si="334"/>
        <v>0</v>
      </c>
      <c r="AA261" s="192">
        <f t="shared" si="334"/>
        <v>0</v>
      </c>
      <c r="AB261" s="192">
        <f t="shared" si="334"/>
        <v>0</v>
      </c>
      <c r="AC261" s="192">
        <f t="shared" si="334"/>
        <v>0</v>
      </c>
      <c r="AD261" s="192">
        <f t="shared" si="334"/>
        <v>0</v>
      </c>
      <c r="AE261" s="192">
        <f t="shared" si="334"/>
        <v>0</v>
      </c>
      <c r="AF261" s="192">
        <f t="shared" si="334"/>
        <v>0</v>
      </c>
      <c r="AG261" s="192">
        <f t="shared" si="334"/>
        <v>0</v>
      </c>
      <c r="AH261" s="192">
        <f t="shared" si="334"/>
        <v>0</v>
      </c>
      <c r="AI261" s="192">
        <f>AI263+AI266+AI269+AI272+AI275+AI278</f>
        <v>235144</v>
      </c>
      <c r="AJ261" s="192">
        <f t="shared" ref="AJ261:AM262" si="335">AJ263+AJ266+AJ269+AJ272+AJ275+AJ278</f>
        <v>263361.28000000003</v>
      </c>
      <c r="AK261" s="192">
        <f t="shared" si="335"/>
        <v>99</v>
      </c>
      <c r="AL261" s="192">
        <f t="shared" si="335"/>
        <v>136395</v>
      </c>
      <c r="AM261" s="188">
        <f t="shared" si="335"/>
        <v>152762.40000000002</v>
      </c>
      <c r="AN261" s="192">
        <f>AN263+AN266+AN269+AN272+AN275+AN278</f>
        <v>99</v>
      </c>
      <c r="AO261" s="188">
        <f>AL261-AI261</f>
        <v>-98749</v>
      </c>
      <c r="AP261" s="188">
        <f t="shared" ref="AP261:AP262" si="336">AM261-AJ261</f>
        <v>-110598.88</v>
      </c>
      <c r="AQ261" s="188">
        <f t="shared" ref="AQ261" si="337">AQ263+AQ266+AQ269+AQ272+AQ275+AQ278</f>
        <v>0</v>
      </c>
      <c r="AR261" s="185">
        <f t="shared" si="316"/>
        <v>0.58004882114789236</v>
      </c>
      <c r="AS261" s="211">
        <f t="shared" ref="AS261:BH262" si="338">AS263+AS266+AS269+AS272+AS275+AS278</f>
        <v>0</v>
      </c>
      <c r="AT261" s="211">
        <f t="shared" si="338"/>
        <v>0</v>
      </c>
      <c r="AU261" s="211">
        <f t="shared" si="338"/>
        <v>0</v>
      </c>
      <c r="AV261" s="188">
        <f t="shared" si="338"/>
        <v>235144</v>
      </c>
      <c r="AW261" s="188">
        <f t="shared" si="338"/>
        <v>263361.28000000003</v>
      </c>
      <c r="AX261" s="188">
        <f t="shared" si="338"/>
        <v>99</v>
      </c>
      <c r="AY261" s="188">
        <f t="shared" si="338"/>
        <v>0</v>
      </c>
      <c r="AZ261" s="188">
        <f t="shared" si="338"/>
        <v>-98749</v>
      </c>
      <c r="BA261" s="188">
        <f t="shared" si="338"/>
        <v>0</v>
      </c>
      <c r="BB261" s="188">
        <f t="shared" si="338"/>
        <v>0</v>
      </c>
      <c r="BC261" s="188">
        <f t="shared" si="338"/>
        <v>0</v>
      </c>
      <c r="BD261" s="188">
        <f t="shared" si="338"/>
        <v>0</v>
      </c>
      <c r="BE261" s="188">
        <f t="shared" si="338"/>
        <v>0</v>
      </c>
      <c r="BF261" s="188">
        <f t="shared" si="338"/>
        <v>0</v>
      </c>
      <c r="BG261" s="188">
        <f t="shared" si="338"/>
        <v>0</v>
      </c>
      <c r="BH261" s="188">
        <f t="shared" si="338"/>
        <v>0</v>
      </c>
      <c r="BI261" s="188">
        <f>BI263+BI266+BI269+BI272+BI275+BI278</f>
        <v>0</v>
      </c>
      <c r="BJ261" s="188">
        <f t="shared" ref="BJ261:BL261" si="339">BJ263+BJ266+BJ269+BJ272+BJ275+BJ278</f>
        <v>0</v>
      </c>
      <c r="BK261" s="188">
        <f t="shared" si="339"/>
        <v>0</v>
      </c>
      <c r="BL261" s="188">
        <f t="shared" si="339"/>
        <v>0</v>
      </c>
      <c r="BM261" s="186" t="s">
        <v>103</v>
      </c>
      <c r="BN261" s="181"/>
      <c r="BO261" s="188">
        <f t="shared" ref="BO261:BQ262" si="340">BO263+BO266+BO269+BO272+BO275+BO278</f>
        <v>0</v>
      </c>
      <c r="BP261" s="188">
        <f t="shared" si="340"/>
        <v>0</v>
      </c>
      <c r="BQ261" s="188">
        <f t="shared" si="340"/>
        <v>0</v>
      </c>
      <c r="BR261" s="212"/>
      <c r="BS261" s="212"/>
      <c r="BT261" s="181"/>
      <c r="BW261" s="181"/>
      <c r="BX261" s="190"/>
    </row>
    <row r="262" spans="1:76" s="189" customFormat="1" x14ac:dyDescent="0.25">
      <c r="A262" s="416"/>
      <c r="B262" s="392"/>
      <c r="C262" s="180"/>
      <c r="D262" s="180"/>
      <c r="E262" s="182">
        <f>E264+E267+E270+E273+E276+E279</f>
        <v>235144</v>
      </c>
      <c r="F262" s="182">
        <f>F264+F267+F270+F273+F276+F279</f>
        <v>263361.28000000003</v>
      </c>
      <c r="G262" s="191"/>
      <c r="H262" s="209"/>
      <c r="I262" s="182">
        <f>I264+I267+I270+I273+I276+I279</f>
        <v>235144</v>
      </c>
      <c r="J262" s="182">
        <f>J264+J267+J270+J273+J276+J279</f>
        <v>263361.28000000003</v>
      </c>
      <c r="K262" s="409"/>
      <c r="L262" s="410"/>
      <c r="M262" s="412"/>
      <c r="N262" s="183">
        <f t="shared" si="333"/>
        <v>192263645.37499997</v>
      </c>
      <c r="O262" s="234">
        <f t="shared" si="333"/>
        <v>215335282.81999999</v>
      </c>
      <c r="P262" s="183">
        <f t="shared" si="333"/>
        <v>192263645.37499997</v>
      </c>
      <c r="Q262" s="234">
        <f t="shared" si="333"/>
        <v>215335282.81999999</v>
      </c>
      <c r="R262" s="210"/>
      <c r="S262" s="427"/>
      <c r="T262" s="192">
        <f>T264+T267+T270+T273+T276+T279</f>
        <v>0</v>
      </c>
      <c r="U262" s="192">
        <f t="shared" si="334"/>
        <v>0</v>
      </c>
      <c r="V262" s="192"/>
      <c r="W262" s="192">
        <f t="shared" si="334"/>
        <v>0</v>
      </c>
      <c r="X262" s="192">
        <f t="shared" si="334"/>
        <v>0</v>
      </c>
      <c r="Y262" s="192"/>
      <c r="Z262" s="192">
        <f t="shared" si="334"/>
        <v>0</v>
      </c>
      <c r="AA262" s="192">
        <f t="shared" si="334"/>
        <v>0</v>
      </c>
      <c r="AB262" s="192"/>
      <c r="AC262" s="192">
        <f t="shared" si="334"/>
        <v>0</v>
      </c>
      <c r="AD262" s="192">
        <f t="shared" si="334"/>
        <v>0</v>
      </c>
      <c r="AE262" s="192"/>
      <c r="AF262" s="192">
        <f t="shared" si="334"/>
        <v>0</v>
      </c>
      <c r="AG262" s="192">
        <f t="shared" si="334"/>
        <v>0</v>
      </c>
      <c r="AH262" s="192"/>
      <c r="AI262" s="192">
        <f>AI264+AI267+AI270+AI273+AI276+AI279</f>
        <v>235144</v>
      </c>
      <c r="AJ262" s="192">
        <f t="shared" si="335"/>
        <v>263361.28000000003</v>
      </c>
      <c r="AK262" s="192"/>
      <c r="AL262" s="192">
        <f t="shared" si="335"/>
        <v>95757.419232142842</v>
      </c>
      <c r="AM262" s="188">
        <f t="shared" si="335"/>
        <v>107248.30953999999</v>
      </c>
      <c r="AN262" s="192"/>
      <c r="AO262" s="188">
        <f t="shared" ref="AO262" si="341">AL262-AI262</f>
        <v>-139386.58076785714</v>
      </c>
      <c r="AP262" s="188">
        <f t="shared" si="336"/>
        <v>-156112.97046000004</v>
      </c>
      <c r="AQ262" s="188"/>
      <c r="AR262" s="185">
        <f t="shared" si="316"/>
        <v>0.40722884373891249</v>
      </c>
      <c r="AS262" s="211">
        <f t="shared" si="338"/>
        <v>0</v>
      </c>
      <c r="AT262" s="211">
        <f t="shared" si="338"/>
        <v>95757.419232142842</v>
      </c>
      <c r="AU262" s="211">
        <f t="shared" si="338"/>
        <v>0</v>
      </c>
      <c r="AV262" s="188">
        <f t="shared" si="338"/>
        <v>250178.16899999999</v>
      </c>
      <c r="AW262" s="188">
        <f t="shared" si="338"/>
        <v>280199.54928000004</v>
      </c>
      <c r="AX262" s="188">
        <f t="shared" si="338"/>
        <v>0</v>
      </c>
      <c r="AY262" s="188">
        <f t="shared" si="338"/>
        <v>0</v>
      </c>
      <c r="AZ262" s="188">
        <f t="shared" si="338"/>
        <v>0</v>
      </c>
      <c r="BA262" s="188">
        <f t="shared" si="338"/>
        <v>0</v>
      </c>
      <c r="BB262" s="188">
        <f t="shared" si="338"/>
        <v>0</v>
      </c>
      <c r="BC262" s="188">
        <f t="shared" si="338"/>
        <v>0</v>
      </c>
      <c r="BD262" s="188">
        <f t="shared" si="338"/>
        <v>0</v>
      </c>
      <c r="BE262" s="188">
        <f t="shared" si="338"/>
        <v>0</v>
      </c>
      <c r="BF262" s="188">
        <f t="shared" si="338"/>
        <v>0</v>
      </c>
      <c r="BG262" s="188">
        <f t="shared" si="338"/>
        <v>0</v>
      </c>
      <c r="BH262" s="188">
        <f t="shared" si="338"/>
        <v>0</v>
      </c>
      <c r="BI262" s="188">
        <f t="shared" ref="BI262:BL262" si="342">BI264+BI267+BI270+BI273+BI276+BI279</f>
        <v>0</v>
      </c>
      <c r="BJ262" s="188">
        <f t="shared" si="342"/>
        <v>0</v>
      </c>
      <c r="BK262" s="188">
        <f t="shared" si="342"/>
        <v>0</v>
      </c>
      <c r="BL262" s="188">
        <f t="shared" si="342"/>
        <v>0</v>
      </c>
      <c r="BM262" s="181"/>
      <c r="BN262" s="181"/>
      <c r="BO262" s="188">
        <f t="shared" si="340"/>
        <v>0</v>
      </c>
      <c r="BP262" s="188">
        <f t="shared" si="340"/>
        <v>0</v>
      </c>
      <c r="BQ262" s="188">
        <f t="shared" si="340"/>
        <v>0</v>
      </c>
      <c r="BR262" s="212"/>
      <c r="BS262" s="212"/>
      <c r="BT262" s="181"/>
      <c r="BW262" s="181"/>
      <c r="BX262" s="190"/>
    </row>
    <row r="263" spans="1:76" s="204" customFormat="1" x14ac:dyDescent="0.25">
      <c r="A263" s="416"/>
      <c r="B263" s="392"/>
      <c r="C263" s="193" t="s">
        <v>69</v>
      </c>
      <c r="D263" s="193" t="s">
        <v>70</v>
      </c>
      <c r="E263" s="194">
        <f>I263</f>
        <v>235144</v>
      </c>
      <c r="F263" s="194">
        <f t="shared" ref="F263:F265" si="343">E263*1.12</f>
        <v>263361.28000000003</v>
      </c>
      <c r="G263" s="402">
        <v>1919</v>
      </c>
      <c r="H263" s="404">
        <v>99</v>
      </c>
      <c r="I263" s="195">
        <v>235144</v>
      </c>
      <c r="J263" s="195">
        <f>I263*1.12</f>
        <v>263361.28000000003</v>
      </c>
      <c r="K263" s="370" t="s">
        <v>124</v>
      </c>
      <c r="L263" s="419" t="s">
        <v>131</v>
      </c>
      <c r="M263" s="372" t="s">
        <v>96</v>
      </c>
      <c r="N263" s="196">
        <f t="shared" ref="N263:O280" si="344">P263</f>
        <v>19420570.482142858</v>
      </c>
      <c r="O263" s="196">
        <f t="shared" si="344"/>
        <v>21751038.940000001</v>
      </c>
      <c r="P263" s="196">
        <f>Q263/1.12</f>
        <v>19420570.482142858</v>
      </c>
      <c r="Q263" s="196">
        <v>21751038.940000001</v>
      </c>
      <c r="R263" s="353" t="s">
        <v>132</v>
      </c>
      <c r="S263" s="376">
        <v>10</v>
      </c>
      <c r="T263" s="214"/>
      <c r="U263" s="214"/>
      <c r="V263" s="214"/>
      <c r="W263" s="214"/>
      <c r="X263" s="214"/>
      <c r="Y263" s="214"/>
      <c r="Z263" s="198"/>
      <c r="AA263" s="198"/>
      <c r="AB263" s="198"/>
      <c r="AC263" s="198"/>
      <c r="AD263" s="199">
        <f t="shared" ref="AD263:AD280" si="345">AC263*1.12</f>
        <v>0</v>
      </c>
      <c r="AE263" s="198"/>
      <c r="AF263" s="198">
        <f t="shared" ref="AF263:AH280" si="346">Z263+AC263</f>
        <v>0</v>
      </c>
      <c r="AG263" s="198">
        <f t="shared" si="346"/>
        <v>0</v>
      </c>
      <c r="AH263" s="198">
        <f t="shared" si="346"/>
        <v>0</v>
      </c>
      <c r="AI263" s="198">
        <f>35667+35667+35667+35667+35667+35667+21142</f>
        <v>235144</v>
      </c>
      <c r="AJ263" s="198">
        <f>AI263*1.12</f>
        <v>263361.28000000003</v>
      </c>
      <c r="AK263" s="198">
        <f>15+15+15+15+15+15+9</f>
        <v>99</v>
      </c>
      <c r="AL263" s="198">
        <f>6765+12013+3850-1434</f>
        <v>21194</v>
      </c>
      <c r="AM263" s="199">
        <f>AL263*1.12</f>
        <v>23737.280000000002</v>
      </c>
      <c r="AN263" s="198">
        <f>4+4+2</f>
        <v>10</v>
      </c>
      <c r="AO263" s="199">
        <f>AL263-$AI$263/$AK$263*AN263+AQ263*$AI$263/$AK$263</f>
        <v>-2557.9191919191908</v>
      </c>
      <c r="AP263" s="199">
        <f>AO263*1.12</f>
        <v>-2864.8694949494939</v>
      </c>
      <c r="AQ263" s="199">
        <f>AN263-(5+3+2)</f>
        <v>0</v>
      </c>
      <c r="AR263" s="200"/>
      <c r="AS263" s="201"/>
      <c r="AT263" s="201"/>
      <c r="AU263" s="201"/>
      <c r="AV263" s="199">
        <f>ROUND(P263/1000,0)</f>
        <v>19421</v>
      </c>
      <c r="AW263" s="199">
        <f>AV263*1.12</f>
        <v>21751.52</v>
      </c>
      <c r="AX263" s="199">
        <f>S263</f>
        <v>10</v>
      </c>
      <c r="AY263" s="199">
        <f>AQ263*$AI$263/$AK$263</f>
        <v>0</v>
      </c>
      <c r="AZ263" s="199">
        <f>AL263-$AI$263/$AK$263*AN263</f>
        <v>-2557.9191919191908</v>
      </c>
      <c r="BA263" s="199"/>
      <c r="BB263" s="199"/>
      <c r="BC263" s="199"/>
      <c r="BD263" s="199"/>
      <c r="BE263" s="199"/>
      <c r="BF263" s="199"/>
      <c r="BG263" s="199"/>
      <c r="BH263" s="199"/>
      <c r="BI263" s="199"/>
      <c r="BJ263" s="199"/>
      <c r="BK263" s="199"/>
      <c r="BL263" s="199"/>
      <c r="BM263" s="202"/>
      <c r="BN263" s="202"/>
      <c r="BO263" s="202"/>
      <c r="BP263" s="202"/>
      <c r="BQ263" s="202"/>
      <c r="BR263" s="202"/>
      <c r="BS263" s="202"/>
      <c r="BT263" s="202"/>
      <c r="BW263" s="202"/>
      <c r="BX263" s="205"/>
    </row>
    <row r="264" spans="1:76" s="97" customFormat="1" x14ac:dyDescent="0.25">
      <c r="A264" s="416"/>
      <c r="B264" s="392"/>
      <c r="C264" s="117" t="s">
        <v>71</v>
      </c>
      <c r="D264" s="117" t="s">
        <v>72</v>
      </c>
      <c r="E264" s="163">
        <f>E265</f>
        <v>235144</v>
      </c>
      <c r="F264" s="163">
        <f t="shared" si="343"/>
        <v>263361.28000000003</v>
      </c>
      <c r="G264" s="403"/>
      <c r="H264" s="405"/>
      <c r="I264" s="161">
        <f>I263</f>
        <v>235144</v>
      </c>
      <c r="J264" s="161">
        <f>I264*1.12</f>
        <v>263361.28000000003</v>
      </c>
      <c r="K264" s="370"/>
      <c r="L264" s="419"/>
      <c r="M264" s="373"/>
      <c r="N264" s="120">
        <f t="shared" si="344"/>
        <v>19420570.482142858</v>
      </c>
      <c r="O264" s="120">
        <f t="shared" si="344"/>
        <v>21751038.940000001</v>
      </c>
      <c r="P264" s="120">
        <f t="shared" ref="P264:P265" si="347">Q264/1.12</f>
        <v>19420570.482142858</v>
      </c>
      <c r="Q264" s="120">
        <f>Q263</f>
        <v>21751038.940000001</v>
      </c>
      <c r="R264" s="375"/>
      <c r="S264" s="377"/>
      <c r="T264" s="206"/>
      <c r="U264" s="206"/>
      <c r="V264" s="206"/>
      <c r="W264" s="206"/>
      <c r="X264" s="206"/>
      <c r="Y264" s="206"/>
      <c r="Z264" s="119"/>
      <c r="AA264" s="119"/>
      <c r="AB264" s="119"/>
      <c r="AC264" s="119"/>
      <c r="AD264" s="118">
        <f t="shared" si="345"/>
        <v>0</v>
      </c>
      <c r="AE264" s="119"/>
      <c r="AF264" s="119">
        <f t="shared" si="346"/>
        <v>0</v>
      </c>
      <c r="AG264" s="119">
        <f t="shared" si="346"/>
        <v>0</v>
      </c>
      <c r="AH264" s="119"/>
      <c r="AI264" s="119">
        <f>35667+35667+35667+35667+35667+35667+21142</f>
        <v>235144</v>
      </c>
      <c r="AJ264" s="119">
        <f>AI264*1.12</f>
        <v>263361.28000000003</v>
      </c>
      <c r="AK264" s="119"/>
      <c r="AL264" s="119">
        <f>7156.15967/1.12+10974.02257/1.12+2519.44302/1.12</f>
        <v>18437.165410714282</v>
      </c>
      <c r="AM264" s="226">
        <f>AL264*1.12</f>
        <v>20649.625259999997</v>
      </c>
      <c r="AN264" s="227"/>
      <c r="AO264" s="118">
        <f>AL264-$AI$264/$AK$263*AN263+AQ263*$AI$264/$AK$263</f>
        <v>-5314.7537812049086</v>
      </c>
      <c r="AP264" s="118">
        <f>AO264*1.12</f>
        <v>-5952.5242349494984</v>
      </c>
      <c r="AQ264" s="118"/>
      <c r="AR264" s="121"/>
      <c r="AS264" s="122"/>
      <c r="AT264" s="122">
        <f>AL264</f>
        <v>18437.165410714282</v>
      </c>
      <c r="AU264" s="122"/>
      <c r="AV264" s="118">
        <f>ROUND(P264/1000,0)</f>
        <v>19421</v>
      </c>
      <c r="AW264" s="118">
        <f t="shared" ref="AW264:AW265" si="348">AV264*1.12</f>
        <v>21751.52</v>
      </c>
      <c r="AX264" s="118"/>
      <c r="AY264" s="118"/>
      <c r="AZ264" s="118"/>
      <c r="BA264" s="118"/>
      <c r="BB264" s="118"/>
      <c r="BC264" s="118"/>
      <c r="BD264" s="118"/>
      <c r="BE264" s="118"/>
      <c r="BF264" s="118"/>
      <c r="BG264" s="118"/>
      <c r="BH264" s="118"/>
      <c r="BI264" s="118"/>
      <c r="BJ264" s="118"/>
      <c r="BK264" s="118"/>
      <c r="BL264" s="118"/>
      <c r="BM264" s="100"/>
      <c r="BN264" s="100"/>
      <c r="BO264" s="100"/>
      <c r="BP264" s="100"/>
      <c r="BQ264" s="100"/>
      <c r="BR264" s="100"/>
      <c r="BS264" s="100"/>
      <c r="BT264" s="100"/>
      <c r="BU264" s="97">
        <v>20526140.170000002</v>
      </c>
      <c r="BW264" s="100"/>
      <c r="BX264" s="101"/>
    </row>
    <row r="265" spans="1:76" x14ac:dyDescent="0.25">
      <c r="A265" s="416"/>
      <c r="B265" s="392"/>
      <c r="C265" s="124" t="s">
        <v>71</v>
      </c>
      <c r="D265" s="124" t="s">
        <v>73</v>
      </c>
      <c r="E265" s="167">
        <f>E263</f>
        <v>235144</v>
      </c>
      <c r="F265" s="167">
        <f t="shared" si="343"/>
        <v>263361.28000000003</v>
      </c>
      <c r="G265" s="403"/>
      <c r="H265" s="405"/>
      <c r="I265" s="166">
        <f>I264</f>
        <v>235144</v>
      </c>
      <c r="J265" s="166">
        <f>J264</f>
        <v>263361.28000000003</v>
      </c>
      <c r="K265" s="370"/>
      <c r="L265" s="419"/>
      <c r="M265" s="374"/>
      <c r="N265" s="127">
        <f t="shared" si="344"/>
        <v>19420570.482142858</v>
      </c>
      <c r="O265" s="127">
        <f t="shared" si="344"/>
        <v>21751038.940000001</v>
      </c>
      <c r="P265" s="127">
        <f t="shared" si="347"/>
        <v>19420570.482142858</v>
      </c>
      <c r="Q265" s="127">
        <f>Q264</f>
        <v>21751038.940000001</v>
      </c>
      <c r="R265" s="354"/>
      <c r="S265" s="378"/>
      <c r="T265" s="37"/>
      <c r="U265" s="37"/>
      <c r="V265" s="37"/>
      <c r="W265" s="37"/>
      <c r="X265" s="37"/>
      <c r="Y265" s="37"/>
      <c r="Z265" s="126"/>
      <c r="AA265" s="126"/>
      <c r="AB265" s="126"/>
      <c r="AC265" s="126">
        <f>AC264</f>
        <v>0</v>
      </c>
      <c r="AD265" s="125">
        <f t="shared" si="345"/>
        <v>0</v>
      </c>
      <c r="AE265" s="126"/>
      <c r="AF265" s="126">
        <f t="shared" si="346"/>
        <v>0</v>
      </c>
      <c r="AG265" s="126">
        <f t="shared" si="346"/>
        <v>0</v>
      </c>
      <c r="AH265" s="126"/>
      <c r="AI265" s="126">
        <f>AI264</f>
        <v>235144</v>
      </c>
      <c r="AJ265" s="126">
        <f>AJ264</f>
        <v>263361.28000000003</v>
      </c>
      <c r="AK265" s="126"/>
      <c r="AL265" s="126">
        <f>AL264</f>
        <v>18437.165410714282</v>
      </c>
      <c r="AM265" s="228">
        <f>AL265*1.12</f>
        <v>20649.625259999997</v>
      </c>
      <c r="AN265" s="229"/>
      <c r="AO265" s="125">
        <f>AO264</f>
        <v>-5314.7537812049086</v>
      </c>
      <c r="AP265" s="125">
        <f>AP264</f>
        <v>-5952.5242349494984</v>
      </c>
      <c r="AQ265" s="125"/>
      <c r="AR265" s="128"/>
      <c r="AS265" s="129"/>
      <c r="AT265" s="129">
        <f>AL265</f>
        <v>18437.165410714282</v>
      </c>
      <c r="AU265" s="129"/>
      <c r="AV265" s="125">
        <f>AV264</f>
        <v>19421</v>
      </c>
      <c r="AW265" s="125">
        <f t="shared" si="348"/>
        <v>21751.52</v>
      </c>
      <c r="AX265" s="125"/>
      <c r="AY265" s="125"/>
      <c r="AZ265" s="125"/>
      <c r="BA265" s="125"/>
      <c r="BB265" s="125"/>
      <c r="BC265" s="125"/>
      <c r="BD265" s="125"/>
      <c r="BE265" s="125"/>
      <c r="BF265" s="125"/>
      <c r="BG265" s="125"/>
      <c r="BH265" s="125"/>
      <c r="BI265" s="125"/>
      <c r="BJ265" s="125"/>
      <c r="BK265" s="125"/>
      <c r="BL265" s="125"/>
      <c r="BM265" s="25"/>
      <c r="BN265" s="25"/>
      <c r="BO265" s="25"/>
      <c r="BP265" s="25"/>
      <c r="BQ265" s="25"/>
      <c r="BR265" s="25"/>
      <c r="BS265" s="25"/>
      <c r="BT265" s="25"/>
      <c r="BW265" s="25"/>
      <c r="BX265" s="26"/>
    </row>
    <row r="266" spans="1:76" s="204" customFormat="1" collapsed="1" x14ac:dyDescent="0.25">
      <c r="A266" s="416"/>
      <c r="B266" s="392"/>
      <c r="C266" s="193" t="s">
        <v>69</v>
      </c>
      <c r="D266" s="193" t="s">
        <v>70</v>
      </c>
      <c r="E266" s="194"/>
      <c r="F266" s="194"/>
      <c r="G266" s="403"/>
      <c r="H266" s="405"/>
      <c r="I266" s="195"/>
      <c r="J266" s="195"/>
      <c r="K266" s="382" t="s">
        <v>111</v>
      </c>
      <c r="L266" s="379" t="s">
        <v>137</v>
      </c>
      <c r="M266" s="372" t="s">
        <v>96</v>
      </c>
      <c r="N266" s="196">
        <f t="shared" si="344"/>
        <v>95160793.999999985</v>
      </c>
      <c r="O266" s="196">
        <f t="shared" si="344"/>
        <v>106580089.27999999</v>
      </c>
      <c r="P266" s="196">
        <f>Q266/1.12</f>
        <v>95160793.999999985</v>
      </c>
      <c r="Q266" s="196">
        <f>54377597.12+26101246.08+26101246.08</f>
        <v>106580089.27999999</v>
      </c>
      <c r="R266" s="353" t="s">
        <v>132</v>
      </c>
      <c r="S266" s="376">
        <f>25+12+12</f>
        <v>49</v>
      </c>
      <c r="T266" s="214"/>
      <c r="U266" s="214"/>
      <c r="V266" s="214"/>
      <c r="W266" s="214"/>
      <c r="X266" s="214"/>
      <c r="Y266" s="214"/>
      <c r="Z266" s="198"/>
      <c r="AA266" s="198"/>
      <c r="AB266" s="198"/>
      <c r="AC266" s="198"/>
      <c r="AD266" s="199">
        <f t="shared" si="345"/>
        <v>0</v>
      </c>
      <c r="AE266" s="198"/>
      <c r="AF266" s="198">
        <f t="shared" si="346"/>
        <v>0</v>
      </c>
      <c r="AG266" s="198">
        <f t="shared" si="346"/>
        <v>0</v>
      </c>
      <c r="AH266" s="198">
        <f t="shared" si="346"/>
        <v>0</v>
      </c>
      <c r="AI266" s="198"/>
      <c r="AJ266" s="198"/>
      <c r="AK266" s="198"/>
      <c r="AL266" s="198">
        <f>61750+1+1287-69</f>
        <v>62969</v>
      </c>
      <c r="AM266" s="199">
        <f>AL266*1.12</f>
        <v>70525.280000000013</v>
      </c>
      <c r="AN266" s="198">
        <f>11+1+11+8+11+6+1</f>
        <v>49</v>
      </c>
      <c r="AO266" s="199">
        <f>AQ266*$AI$263/$AK$263+AL266-$AI$263/$AK$263*AN266</f>
        <v>-53415.404040404042</v>
      </c>
      <c r="AP266" s="199">
        <f>AO266*1.12</f>
        <v>-59825.25252525253</v>
      </c>
      <c r="AQ266" s="199">
        <f>AN266-(16+5+6+7+7+8)</f>
        <v>0</v>
      </c>
      <c r="AR266" s="200" t="str">
        <f t="shared" ref="AR266:AR342" si="349">IF(AI266=0,"",AL266/AI266)</f>
        <v/>
      </c>
      <c r="AS266" s="201"/>
      <c r="AT266" s="201"/>
      <c r="AU266" s="201"/>
      <c r="AV266" s="199">
        <f>ROUND(P266/1000,0)</f>
        <v>95161</v>
      </c>
      <c r="AW266" s="199">
        <f>AV266*1.12</f>
        <v>106580.32</v>
      </c>
      <c r="AX266" s="199">
        <f>S266</f>
        <v>49</v>
      </c>
      <c r="AY266" s="199"/>
      <c r="AZ266" s="199">
        <f>AL266-$AI$263/$AK$263*AN266</f>
        <v>-53415.404040404042</v>
      </c>
      <c r="BA266" s="199"/>
      <c r="BB266" s="199"/>
      <c r="BC266" s="199"/>
      <c r="BD266" s="199"/>
      <c r="BE266" s="199"/>
      <c r="BF266" s="199">
        <f>AQ266*$AI$263/$AK$263</f>
        <v>0</v>
      </c>
      <c r="BG266" s="199"/>
      <c r="BH266" s="199"/>
      <c r="BI266" s="199"/>
      <c r="BJ266" s="199"/>
      <c r="BK266" s="199"/>
      <c r="BL266" s="199"/>
      <c r="BM266" s="230"/>
      <c r="BN266" s="230"/>
      <c r="BO266" s="230"/>
      <c r="BP266" s="230"/>
      <c r="BQ266" s="230"/>
      <c r="BR266" s="230"/>
      <c r="BS266" s="230"/>
      <c r="BT266" s="230"/>
      <c r="BW266" s="202"/>
      <c r="BX266" s="205"/>
    </row>
    <row r="267" spans="1:76" s="97" customFormat="1" x14ac:dyDescent="0.25">
      <c r="A267" s="416"/>
      <c r="B267" s="392"/>
      <c r="C267" s="117" t="s">
        <v>71</v>
      </c>
      <c r="D267" s="117" t="s">
        <v>72</v>
      </c>
      <c r="E267" s="163"/>
      <c r="F267" s="163"/>
      <c r="G267" s="403"/>
      <c r="H267" s="405"/>
      <c r="I267" s="161"/>
      <c r="J267" s="161"/>
      <c r="K267" s="383"/>
      <c r="L267" s="380"/>
      <c r="M267" s="373"/>
      <c r="N267" s="120">
        <f t="shared" si="344"/>
        <v>95160793.999999985</v>
      </c>
      <c r="O267" s="120">
        <f t="shared" si="344"/>
        <v>106580089.27999999</v>
      </c>
      <c r="P267" s="120">
        <f t="shared" ref="P267:P274" si="350">Q267/1.12</f>
        <v>95160793.999999985</v>
      </c>
      <c r="Q267" s="120">
        <f>Q266</f>
        <v>106580089.27999999</v>
      </c>
      <c r="R267" s="375"/>
      <c r="S267" s="377"/>
      <c r="T267" s="206"/>
      <c r="U267" s="206"/>
      <c r="V267" s="206"/>
      <c r="W267" s="206"/>
      <c r="X267" s="206"/>
      <c r="Y267" s="206"/>
      <c r="Z267" s="119"/>
      <c r="AA267" s="119"/>
      <c r="AB267" s="119"/>
      <c r="AC267" s="119"/>
      <c r="AD267" s="118">
        <f t="shared" si="345"/>
        <v>0</v>
      </c>
      <c r="AE267" s="119"/>
      <c r="AF267" s="119">
        <f t="shared" si="346"/>
        <v>0</v>
      </c>
      <c r="AG267" s="119">
        <f t="shared" si="346"/>
        <v>0</v>
      </c>
      <c r="AH267" s="119"/>
      <c r="AI267" s="119"/>
      <c r="AJ267" s="119">
        <f>AI267*1.12</f>
        <v>0</v>
      </c>
      <c r="AK267" s="119"/>
      <c r="AL267" s="161">
        <f>8306.3769/1.12+6529.20472/1.12+12057.33137/1.12+13934.43825/1.12+4851.32122/1.12+697.77026/1.12</f>
        <v>41407.538142857135</v>
      </c>
      <c r="AM267" s="163">
        <f>AL267*1.12</f>
        <v>46376.442719999992</v>
      </c>
      <c r="AN267" s="119"/>
      <c r="AO267" s="118">
        <f>AL267-$AI$264/$AK$263*AN266+AQ266*$AI$264/$AK$263</f>
        <v>-74976.865897546901</v>
      </c>
      <c r="AP267" s="118">
        <f>AO267*1.12</f>
        <v>-83974.08980525253</v>
      </c>
      <c r="AQ267" s="118"/>
      <c r="AR267" s="121" t="str">
        <f t="shared" si="349"/>
        <v/>
      </c>
      <c r="AS267" s="122"/>
      <c r="AT267" s="122">
        <f>AL267</f>
        <v>41407.538142857135</v>
      </c>
      <c r="AU267" s="122"/>
      <c r="AV267" s="118">
        <f>ROUND(P267/1000,0)</f>
        <v>95161</v>
      </c>
      <c r="AW267" s="118">
        <f t="shared" ref="AW267:AW268" si="351">AV267*1.12</f>
        <v>106580.32</v>
      </c>
      <c r="AX267" s="118"/>
      <c r="AY267" s="118"/>
      <c r="AZ267" s="118"/>
      <c r="BA267" s="118"/>
      <c r="BB267" s="118"/>
      <c r="BC267" s="118"/>
      <c r="BD267" s="118"/>
      <c r="BE267" s="118"/>
      <c r="BF267" s="118"/>
      <c r="BG267" s="118"/>
      <c r="BH267" s="118"/>
      <c r="BI267" s="118"/>
      <c r="BJ267" s="118"/>
      <c r="BK267" s="118"/>
      <c r="BL267" s="118"/>
      <c r="BM267" s="123"/>
      <c r="BN267" s="123"/>
      <c r="BO267" s="123"/>
      <c r="BP267" s="123"/>
      <c r="BQ267" s="123"/>
      <c r="BR267" s="123"/>
      <c r="BS267" s="123"/>
      <c r="BT267" s="123"/>
      <c r="BW267" s="100"/>
      <c r="BX267" s="101"/>
    </row>
    <row r="268" spans="1:76" x14ac:dyDescent="0.25">
      <c r="A268" s="416"/>
      <c r="B268" s="392"/>
      <c r="C268" s="124" t="s">
        <v>71</v>
      </c>
      <c r="D268" s="124" t="s">
        <v>73</v>
      </c>
      <c r="E268" s="167"/>
      <c r="F268" s="167"/>
      <c r="G268" s="403"/>
      <c r="H268" s="405"/>
      <c r="I268" s="166"/>
      <c r="J268" s="166"/>
      <c r="K268" s="384"/>
      <c r="L268" s="381"/>
      <c r="M268" s="374"/>
      <c r="N268" s="127">
        <f t="shared" si="344"/>
        <v>95160793.999999985</v>
      </c>
      <c r="O268" s="127">
        <f t="shared" si="344"/>
        <v>106580089.27999999</v>
      </c>
      <c r="P268" s="127">
        <f t="shared" si="350"/>
        <v>95160793.999999985</v>
      </c>
      <c r="Q268" s="127">
        <f>Q266</f>
        <v>106580089.27999999</v>
      </c>
      <c r="R268" s="354"/>
      <c r="S268" s="378"/>
      <c r="T268" s="37"/>
      <c r="U268" s="37"/>
      <c r="V268" s="37"/>
      <c r="W268" s="37"/>
      <c r="X268" s="37"/>
      <c r="Y268" s="37"/>
      <c r="Z268" s="126"/>
      <c r="AA268" s="126"/>
      <c r="AB268" s="126"/>
      <c r="AC268" s="126">
        <f t="shared" ref="AC268" si="352">AC267</f>
        <v>0</v>
      </c>
      <c r="AD268" s="125">
        <f t="shared" si="345"/>
        <v>0</v>
      </c>
      <c r="AE268" s="126"/>
      <c r="AF268" s="126">
        <f t="shared" si="346"/>
        <v>0</v>
      </c>
      <c r="AG268" s="126">
        <f t="shared" si="346"/>
        <v>0</v>
      </c>
      <c r="AH268" s="126"/>
      <c r="AI268" s="126">
        <f>AI267</f>
        <v>0</v>
      </c>
      <c r="AJ268" s="126">
        <f>AJ267</f>
        <v>0</v>
      </c>
      <c r="AK268" s="126"/>
      <c r="AL268" s="126">
        <f>AL267</f>
        <v>41407.538142857135</v>
      </c>
      <c r="AM268" s="125">
        <f>AM267</f>
        <v>46376.442719999992</v>
      </c>
      <c r="AN268" s="126"/>
      <c r="AO268" s="125">
        <f>AO267</f>
        <v>-74976.865897546901</v>
      </c>
      <c r="AP268" s="125">
        <f>AP267</f>
        <v>-83974.08980525253</v>
      </c>
      <c r="AQ268" s="125"/>
      <c r="AR268" s="128" t="str">
        <f t="shared" si="349"/>
        <v/>
      </c>
      <c r="AS268" s="129"/>
      <c r="AT268" s="129">
        <f>AL268</f>
        <v>41407.538142857135</v>
      </c>
      <c r="AU268" s="129"/>
      <c r="AV268" s="125">
        <f>AV267</f>
        <v>95161</v>
      </c>
      <c r="AW268" s="125">
        <f t="shared" si="351"/>
        <v>106580.32</v>
      </c>
      <c r="AX268" s="125"/>
      <c r="AY268" s="118"/>
      <c r="AZ268" s="118"/>
      <c r="BA268" s="118"/>
      <c r="BB268" s="118"/>
      <c r="BC268" s="118"/>
      <c r="BD268" s="118"/>
      <c r="BE268" s="118"/>
      <c r="BF268" s="118"/>
      <c r="BG268" s="118"/>
      <c r="BH268" s="118"/>
      <c r="BI268" s="118"/>
      <c r="BJ268" s="118"/>
      <c r="BK268" s="118"/>
      <c r="BL268" s="118"/>
      <c r="BM268" s="123"/>
      <c r="BN268" s="123"/>
      <c r="BO268" s="123"/>
      <c r="BP268" s="123"/>
      <c r="BQ268" s="123"/>
      <c r="BR268" s="123"/>
      <c r="BS268" s="123"/>
      <c r="BT268" s="123"/>
      <c r="BW268" s="25"/>
      <c r="BX268" s="26"/>
    </row>
    <row r="269" spans="1:76" s="204" customFormat="1" x14ac:dyDescent="0.25">
      <c r="A269" s="416"/>
      <c r="B269" s="392"/>
      <c r="C269" s="193" t="s">
        <v>69</v>
      </c>
      <c r="D269" s="193" t="s">
        <v>70</v>
      </c>
      <c r="E269" s="194"/>
      <c r="F269" s="194">
        <f>E269*1.12</f>
        <v>0</v>
      </c>
      <c r="G269" s="403"/>
      <c r="H269" s="405"/>
      <c r="I269" s="195"/>
      <c r="J269" s="195"/>
      <c r="K269" s="370" t="s">
        <v>140</v>
      </c>
      <c r="L269" s="369" t="s">
        <v>141</v>
      </c>
      <c r="M269" s="372" t="s">
        <v>96</v>
      </c>
      <c r="N269" s="196">
        <f t="shared" si="344"/>
        <v>38841140.892857134</v>
      </c>
      <c r="O269" s="196">
        <f t="shared" si="344"/>
        <v>43502077.799999997</v>
      </c>
      <c r="P269" s="196">
        <f t="shared" si="350"/>
        <v>38841140.892857134</v>
      </c>
      <c r="Q269" s="196">
        <v>43502077.799999997</v>
      </c>
      <c r="R269" s="353" t="s">
        <v>132</v>
      </c>
      <c r="S269" s="376">
        <v>20</v>
      </c>
      <c r="T269" s="214"/>
      <c r="U269" s="214"/>
      <c r="V269" s="214"/>
      <c r="W269" s="214"/>
      <c r="X269" s="214"/>
      <c r="Y269" s="214"/>
      <c r="Z269" s="198"/>
      <c r="AA269" s="198"/>
      <c r="AB269" s="198"/>
      <c r="AC269" s="198"/>
      <c r="AD269" s="199">
        <f t="shared" si="345"/>
        <v>0</v>
      </c>
      <c r="AE269" s="198"/>
      <c r="AF269" s="198">
        <f t="shared" si="346"/>
        <v>0</v>
      </c>
      <c r="AG269" s="198">
        <f t="shared" si="346"/>
        <v>0</v>
      </c>
      <c r="AH269" s="198">
        <f t="shared" si="346"/>
        <v>0</v>
      </c>
      <c r="AI269" s="198"/>
      <c r="AJ269" s="198"/>
      <c r="AK269" s="198"/>
      <c r="AL269" s="198">
        <f>21352-1+1424+4760+34</f>
        <v>27569</v>
      </c>
      <c r="AM269" s="199">
        <f>AL269*1.12</f>
        <v>30877.280000000002</v>
      </c>
      <c r="AN269" s="198">
        <f>6+4+1+4+3+2</f>
        <v>20</v>
      </c>
      <c r="AO269" s="199">
        <f>AL269-$AI$263/$AK$263*AN269+AQ269*$AI$263/$AK$263</f>
        <v>-19934.838383838382</v>
      </c>
      <c r="AP269" s="199">
        <f>AO269*1.12</f>
        <v>-22327.018989898988</v>
      </c>
      <c r="AQ269" s="199">
        <f>AN269-(6+2+3+4+4+1)</f>
        <v>0</v>
      </c>
      <c r="AR269" s="200" t="str">
        <f t="shared" si="349"/>
        <v/>
      </c>
      <c r="AS269" s="201"/>
      <c r="AT269" s="201"/>
      <c r="AU269" s="201"/>
      <c r="AV269" s="199">
        <f>E263-AV263-AV266</f>
        <v>120562</v>
      </c>
      <c r="AW269" s="199">
        <f>AV269*1.12</f>
        <v>135029.44</v>
      </c>
      <c r="AX269" s="199">
        <f>H263-AX263-AX266</f>
        <v>40</v>
      </c>
      <c r="AY269" s="199"/>
      <c r="AZ269" s="199">
        <f>AL269-$AI$263/$AK$263*AN269</f>
        <v>-19934.838383838382</v>
      </c>
      <c r="BA269" s="199"/>
      <c r="BB269" s="199"/>
      <c r="BC269" s="199"/>
      <c r="BD269" s="199"/>
      <c r="BE269" s="199"/>
      <c r="BF269" s="199"/>
      <c r="BG269" s="199"/>
      <c r="BH269" s="199"/>
      <c r="BI269" s="199"/>
      <c r="BJ269" s="199"/>
      <c r="BK269" s="237"/>
      <c r="BL269" s="237"/>
      <c r="BM269" s="203"/>
      <c r="BN269" s="203"/>
      <c r="BO269" s="202"/>
      <c r="BP269" s="202"/>
      <c r="BQ269" s="202"/>
      <c r="BR269" s="203"/>
      <c r="BS269" s="203"/>
      <c r="BT269" s="202"/>
      <c r="BW269" s="202"/>
      <c r="BX269" s="205"/>
    </row>
    <row r="270" spans="1:76" s="97" customFormat="1" x14ac:dyDescent="0.25">
      <c r="A270" s="416"/>
      <c r="B270" s="392"/>
      <c r="C270" s="117" t="s">
        <v>71</v>
      </c>
      <c r="D270" s="117" t="s">
        <v>72</v>
      </c>
      <c r="E270" s="163"/>
      <c r="F270" s="163">
        <f t="shared" ref="F270:F271" si="353">E270*1.12</f>
        <v>0</v>
      </c>
      <c r="G270" s="403"/>
      <c r="H270" s="405"/>
      <c r="I270" s="161"/>
      <c r="J270" s="161"/>
      <c r="K270" s="370"/>
      <c r="L270" s="369"/>
      <c r="M270" s="373"/>
      <c r="N270" s="120">
        <f t="shared" si="344"/>
        <v>38841140.892857134</v>
      </c>
      <c r="O270" s="120">
        <f t="shared" si="344"/>
        <v>43502077.799999997</v>
      </c>
      <c r="P270" s="120">
        <f t="shared" si="350"/>
        <v>38841140.892857134</v>
      </c>
      <c r="Q270" s="120">
        <f>Q269</f>
        <v>43502077.799999997</v>
      </c>
      <c r="R270" s="375"/>
      <c r="S270" s="377"/>
      <c r="T270" s="206"/>
      <c r="U270" s="206"/>
      <c r="V270" s="206"/>
      <c r="W270" s="206"/>
      <c r="X270" s="206"/>
      <c r="Y270" s="206"/>
      <c r="Z270" s="119"/>
      <c r="AA270" s="119"/>
      <c r="AB270" s="119"/>
      <c r="AC270" s="119"/>
      <c r="AD270" s="118">
        <f t="shared" si="345"/>
        <v>0</v>
      </c>
      <c r="AE270" s="119"/>
      <c r="AF270" s="119">
        <f t="shared" si="346"/>
        <v>0</v>
      </c>
      <c r="AG270" s="119">
        <f t="shared" si="346"/>
        <v>0</v>
      </c>
      <c r="AH270" s="119"/>
      <c r="AI270" s="119"/>
      <c r="AJ270" s="119">
        <f>AI270*1.12</f>
        <v>0</v>
      </c>
      <c r="AK270" s="119"/>
      <c r="AL270" s="119">
        <f>8760.42599/1.12+5859.89053/1.12+1198.11364/1.12+4149.89098/1.12+3415.65114/1.12</f>
        <v>20878.546678571427</v>
      </c>
      <c r="AM270" s="118">
        <f>AL270*1.12</f>
        <v>23383.972280000002</v>
      </c>
      <c r="AN270" s="119"/>
      <c r="AO270" s="118">
        <f>AL270-$AI$264/$AK$263*AN269+AQ269*$AI$264/$AK$263</f>
        <v>-26625.291705266955</v>
      </c>
      <c r="AP270" s="118">
        <f>AO270*1.12</f>
        <v>-29820.326709898993</v>
      </c>
      <c r="AQ270" s="118"/>
      <c r="AR270" s="121" t="str">
        <f t="shared" si="349"/>
        <v/>
      </c>
      <c r="AS270" s="122"/>
      <c r="AT270" s="122">
        <f>AL270</f>
        <v>20878.546678571427</v>
      </c>
      <c r="AU270" s="122"/>
      <c r="AV270" s="118">
        <f>E264-AV264-AV267</f>
        <v>120562</v>
      </c>
      <c r="AW270" s="118">
        <f t="shared" ref="AW270:AW271" si="354">AV270*1.12</f>
        <v>135029.44</v>
      </c>
      <c r="AX270" s="118"/>
      <c r="AY270" s="118"/>
      <c r="AZ270" s="118"/>
      <c r="BA270" s="118"/>
      <c r="BB270" s="118"/>
      <c r="BC270" s="118"/>
      <c r="BD270" s="118"/>
      <c r="BE270" s="118"/>
      <c r="BF270" s="118"/>
      <c r="BG270" s="118"/>
      <c r="BH270" s="118"/>
      <c r="BI270" s="118"/>
      <c r="BJ270" s="118"/>
      <c r="BK270" s="118"/>
      <c r="BL270" s="118"/>
      <c r="BM270" s="207"/>
      <c r="BN270" s="207"/>
      <c r="BO270" s="100"/>
      <c r="BP270" s="100"/>
      <c r="BQ270" s="100"/>
      <c r="BR270" s="207"/>
      <c r="BS270" s="207"/>
      <c r="BT270" s="100"/>
      <c r="BW270" s="100"/>
      <c r="BX270" s="101"/>
    </row>
    <row r="271" spans="1:76" x14ac:dyDescent="0.25">
      <c r="A271" s="416"/>
      <c r="B271" s="392"/>
      <c r="C271" s="124" t="s">
        <v>71</v>
      </c>
      <c r="D271" s="124" t="s">
        <v>73</v>
      </c>
      <c r="E271" s="167"/>
      <c r="F271" s="167">
        <f t="shared" si="353"/>
        <v>0</v>
      </c>
      <c r="G271" s="403"/>
      <c r="H271" s="405"/>
      <c r="I271" s="166"/>
      <c r="J271" s="166"/>
      <c r="K271" s="370"/>
      <c r="L271" s="369"/>
      <c r="M271" s="374"/>
      <c r="N271" s="127">
        <f t="shared" si="344"/>
        <v>38841140.892857134</v>
      </c>
      <c r="O271" s="127">
        <f t="shared" si="344"/>
        <v>43502077.799999997</v>
      </c>
      <c r="P271" s="127">
        <f t="shared" si="350"/>
        <v>38841140.892857134</v>
      </c>
      <c r="Q271" s="127">
        <f>Q270</f>
        <v>43502077.799999997</v>
      </c>
      <c r="R271" s="354"/>
      <c r="S271" s="378"/>
      <c r="T271" s="37"/>
      <c r="U271" s="37"/>
      <c r="V271" s="37"/>
      <c r="W271" s="37"/>
      <c r="X271" s="37"/>
      <c r="Y271" s="37"/>
      <c r="Z271" s="126"/>
      <c r="AA271" s="126"/>
      <c r="AB271" s="126"/>
      <c r="AC271" s="126">
        <f t="shared" ref="AC271" si="355">AC270</f>
        <v>0</v>
      </c>
      <c r="AD271" s="125">
        <f t="shared" si="345"/>
        <v>0</v>
      </c>
      <c r="AE271" s="126"/>
      <c r="AF271" s="126">
        <f t="shared" si="346"/>
        <v>0</v>
      </c>
      <c r="AG271" s="126">
        <f t="shared" si="346"/>
        <v>0</v>
      </c>
      <c r="AH271" s="126"/>
      <c r="AI271" s="126">
        <f>AI270</f>
        <v>0</v>
      </c>
      <c r="AJ271" s="126">
        <f>AJ270</f>
        <v>0</v>
      </c>
      <c r="AK271" s="126"/>
      <c r="AL271" s="126">
        <f>AL270</f>
        <v>20878.546678571427</v>
      </c>
      <c r="AM271" s="125">
        <f>AM270</f>
        <v>23383.972280000002</v>
      </c>
      <c r="AN271" s="126"/>
      <c r="AO271" s="125">
        <f>AO270</f>
        <v>-26625.291705266955</v>
      </c>
      <c r="AP271" s="125">
        <f>AP270</f>
        <v>-29820.326709898993</v>
      </c>
      <c r="AQ271" s="125"/>
      <c r="AR271" s="128" t="str">
        <f t="shared" si="349"/>
        <v/>
      </c>
      <c r="AS271" s="129"/>
      <c r="AT271" s="129">
        <f>AL271</f>
        <v>20878.546678571427</v>
      </c>
      <c r="AU271" s="129"/>
      <c r="AV271" s="125">
        <f>AV270</f>
        <v>120562</v>
      </c>
      <c r="AW271" s="125">
        <f t="shared" si="354"/>
        <v>135029.44</v>
      </c>
      <c r="AX271" s="125"/>
      <c r="AY271" s="125"/>
      <c r="AZ271" s="125"/>
      <c r="BA271" s="125"/>
      <c r="BB271" s="125"/>
      <c r="BC271" s="125"/>
      <c r="BD271" s="125"/>
      <c r="BE271" s="125"/>
      <c r="BF271" s="125"/>
      <c r="BG271" s="125"/>
      <c r="BH271" s="125"/>
      <c r="BI271" s="125"/>
      <c r="BJ271" s="125"/>
      <c r="BK271" s="125"/>
      <c r="BL271" s="125"/>
      <c r="BM271" s="208"/>
      <c r="BN271" s="208"/>
      <c r="BO271" s="25"/>
      <c r="BP271" s="25"/>
      <c r="BQ271" s="25"/>
      <c r="BR271" s="208"/>
      <c r="BS271" s="208"/>
      <c r="BT271" s="25"/>
      <c r="BW271" s="25"/>
      <c r="BX271" s="26"/>
    </row>
    <row r="272" spans="1:76" s="204" customFormat="1" x14ac:dyDescent="0.25">
      <c r="A272" s="416"/>
      <c r="B272" s="392"/>
      <c r="C272" s="193" t="s">
        <v>69</v>
      </c>
      <c r="D272" s="193" t="s">
        <v>70</v>
      </c>
      <c r="E272" s="194"/>
      <c r="F272" s="194"/>
      <c r="G272" s="403"/>
      <c r="H272" s="405"/>
      <c r="I272" s="195"/>
      <c r="J272" s="195"/>
      <c r="K272" s="370" t="s">
        <v>115</v>
      </c>
      <c r="L272" s="423" t="s">
        <v>144</v>
      </c>
      <c r="M272" s="372" t="s">
        <v>96</v>
      </c>
      <c r="N272" s="196">
        <f t="shared" si="344"/>
        <v>38841139.999999993</v>
      </c>
      <c r="O272" s="196">
        <f t="shared" si="344"/>
        <v>43502076.799999997</v>
      </c>
      <c r="P272" s="196">
        <f t="shared" si="350"/>
        <v>38841139.999999993</v>
      </c>
      <c r="Q272" s="196">
        <v>43502076.799999997</v>
      </c>
      <c r="R272" s="353" t="s">
        <v>132</v>
      </c>
      <c r="S272" s="376">
        <v>20</v>
      </c>
      <c r="T272" s="214"/>
      <c r="U272" s="214"/>
      <c r="V272" s="214"/>
      <c r="W272" s="214"/>
      <c r="X272" s="214"/>
      <c r="Y272" s="214"/>
      <c r="Z272" s="198"/>
      <c r="AA272" s="198"/>
      <c r="AB272" s="198"/>
      <c r="AC272" s="198"/>
      <c r="AD272" s="199">
        <f t="shared" si="345"/>
        <v>0</v>
      </c>
      <c r="AE272" s="198"/>
      <c r="AF272" s="198">
        <f t="shared" si="346"/>
        <v>0</v>
      </c>
      <c r="AG272" s="198">
        <f t="shared" si="346"/>
        <v>0</v>
      </c>
      <c r="AH272" s="198">
        <f t="shared" si="346"/>
        <v>0</v>
      </c>
      <c r="AI272" s="198"/>
      <c r="AJ272" s="198"/>
      <c r="AK272" s="198"/>
      <c r="AL272" s="198">
        <f>6762+4890+9995+1+1961+1054</f>
        <v>24663</v>
      </c>
      <c r="AM272" s="199">
        <f t="shared" ref="AM272:AM280" si="356">AL272*1.12</f>
        <v>27622.560000000001</v>
      </c>
      <c r="AN272" s="198">
        <f>4+5+4+7</f>
        <v>20</v>
      </c>
      <c r="AO272" s="199">
        <f>AL272-$AI$263/$AK$263*AN272+AQ272*$AI$263/$AK$263</f>
        <v>-22840.838383838382</v>
      </c>
      <c r="AP272" s="199">
        <f>AO272*1.12</f>
        <v>-25581.73898989899</v>
      </c>
      <c r="AQ272" s="199">
        <f>AN272-(3+5+4+4+4)</f>
        <v>0</v>
      </c>
      <c r="AR272" s="200" t="str">
        <f t="shared" si="349"/>
        <v/>
      </c>
      <c r="AS272" s="201"/>
      <c r="AT272" s="201"/>
      <c r="AU272" s="201"/>
      <c r="AV272" s="199"/>
      <c r="AW272" s="199">
        <f>AV272*1.12</f>
        <v>0</v>
      </c>
      <c r="AX272" s="199"/>
      <c r="AY272" s="199"/>
      <c r="AZ272" s="199">
        <f>AL272-$AI$263/$AK$263*AN272</f>
        <v>-22840.838383838382</v>
      </c>
      <c r="BA272" s="199"/>
      <c r="BB272" s="199"/>
      <c r="BC272" s="199"/>
      <c r="BD272" s="199"/>
      <c r="BE272" s="199"/>
      <c r="BF272" s="199">
        <f>AQ272*$AI$263/$AK$263</f>
        <v>0</v>
      </c>
      <c r="BG272" s="199"/>
      <c r="BH272" s="199"/>
      <c r="BI272" s="199"/>
      <c r="BJ272" s="199"/>
      <c r="BK272" s="199"/>
      <c r="BL272" s="199"/>
      <c r="BM272" s="202"/>
      <c r="BN272" s="202"/>
      <c r="BO272" s="202"/>
      <c r="BP272" s="202"/>
      <c r="BQ272" s="202"/>
      <c r="BR272" s="202"/>
      <c r="BS272" s="202"/>
      <c r="BT272" s="202"/>
      <c r="BW272" s="202"/>
      <c r="BX272" s="205"/>
    </row>
    <row r="273" spans="1:76" s="97" customFormat="1" x14ac:dyDescent="0.25">
      <c r="A273" s="416"/>
      <c r="B273" s="392"/>
      <c r="C273" s="117" t="s">
        <v>71</v>
      </c>
      <c r="D273" s="117" t="s">
        <v>72</v>
      </c>
      <c r="E273" s="163"/>
      <c r="F273" s="163"/>
      <c r="G273" s="403"/>
      <c r="H273" s="405"/>
      <c r="I273" s="161"/>
      <c r="J273" s="161"/>
      <c r="K273" s="370"/>
      <c r="L273" s="424"/>
      <c r="M273" s="373"/>
      <c r="N273" s="120">
        <f t="shared" si="344"/>
        <v>38841139.999999993</v>
      </c>
      <c r="O273" s="120">
        <f t="shared" si="344"/>
        <v>43502076.799999997</v>
      </c>
      <c r="P273" s="120">
        <f t="shared" si="350"/>
        <v>38841139.999999993</v>
      </c>
      <c r="Q273" s="120">
        <f>Q272</f>
        <v>43502076.799999997</v>
      </c>
      <c r="R273" s="375"/>
      <c r="S273" s="377"/>
      <c r="T273" s="206"/>
      <c r="U273" s="206"/>
      <c r="V273" s="206"/>
      <c r="W273" s="206"/>
      <c r="X273" s="206"/>
      <c r="Y273" s="206"/>
      <c r="Z273" s="119"/>
      <c r="AA273" s="119"/>
      <c r="AB273" s="119"/>
      <c r="AC273" s="119"/>
      <c r="AD273" s="118">
        <f t="shared" si="345"/>
        <v>0</v>
      </c>
      <c r="AE273" s="119"/>
      <c r="AF273" s="119">
        <f t="shared" si="346"/>
        <v>0</v>
      </c>
      <c r="AG273" s="119">
        <f t="shared" si="346"/>
        <v>0</v>
      </c>
      <c r="AH273" s="119"/>
      <c r="AI273" s="119"/>
      <c r="AJ273" s="119">
        <f>AI273*1.12</f>
        <v>0</v>
      </c>
      <c r="AK273" s="119"/>
      <c r="AL273" s="119">
        <f>3854.22016/1.12+3584.0616/1.12+3321.1808/1.12+6078.80672/1.12</f>
        <v>15034.168999999998</v>
      </c>
      <c r="AM273" s="118">
        <f t="shared" si="356"/>
        <v>16838.26928</v>
      </c>
      <c r="AN273" s="119"/>
      <c r="AO273" s="118">
        <f>AL273-$AI$264/$AK$263*AN272+AQ272*$AI$264/$AK$263</f>
        <v>-32469.669383838384</v>
      </c>
      <c r="AP273" s="118">
        <f>AO273*1.12</f>
        <v>-36366.02970989899</v>
      </c>
      <c r="AQ273" s="118"/>
      <c r="AR273" s="121" t="str">
        <f t="shared" si="349"/>
        <v/>
      </c>
      <c r="AS273" s="122"/>
      <c r="AT273" s="122">
        <f>AL273</f>
        <v>15034.168999999998</v>
      </c>
      <c r="AU273" s="122"/>
      <c r="AV273" s="118">
        <f>AL273</f>
        <v>15034.168999999998</v>
      </c>
      <c r="AW273" s="118">
        <f t="shared" ref="AW273:AW274" si="357">AV273*1.12</f>
        <v>16838.26928</v>
      </c>
      <c r="AX273" s="118"/>
      <c r="AY273" s="118"/>
      <c r="AZ273" s="118"/>
      <c r="BA273" s="118"/>
      <c r="BB273" s="118"/>
      <c r="BC273" s="118"/>
      <c r="BD273" s="118"/>
      <c r="BE273" s="118"/>
      <c r="BF273" s="118"/>
      <c r="BG273" s="118"/>
      <c r="BH273" s="118"/>
      <c r="BI273" s="118"/>
      <c r="BJ273" s="118"/>
      <c r="BK273" s="118"/>
      <c r="BL273" s="118"/>
      <c r="BM273" s="100"/>
      <c r="BN273" s="100"/>
      <c r="BO273" s="100"/>
      <c r="BP273" s="100"/>
      <c r="BQ273" s="100"/>
      <c r="BR273" s="100"/>
      <c r="BS273" s="100"/>
      <c r="BT273" s="100"/>
      <c r="BU273" s="97">
        <v>31030466.559999999</v>
      </c>
      <c r="BW273" s="100"/>
      <c r="BX273" s="101"/>
    </row>
    <row r="274" spans="1:76" x14ac:dyDescent="0.25">
      <c r="A274" s="416"/>
      <c r="B274" s="392"/>
      <c r="C274" s="124" t="s">
        <v>71</v>
      </c>
      <c r="D274" s="124" t="s">
        <v>73</v>
      </c>
      <c r="E274" s="167"/>
      <c r="F274" s="167"/>
      <c r="G274" s="403"/>
      <c r="H274" s="405"/>
      <c r="I274" s="166"/>
      <c r="J274" s="166"/>
      <c r="K274" s="370"/>
      <c r="L274" s="425"/>
      <c r="M274" s="374"/>
      <c r="N274" s="127">
        <f t="shared" si="344"/>
        <v>38841139.999999993</v>
      </c>
      <c r="O274" s="127">
        <f t="shared" si="344"/>
        <v>43502076.799999997</v>
      </c>
      <c r="P274" s="127">
        <f t="shared" si="350"/>
        <v>38841139.999999993</v>
      </c>
      <c r="Q274" s="232">
        <f>Q273</f>
        <v>43502076.799999997</v>
      </c>
      <c r="R274" s="354"/>
      <c r="S274" s="378"/>
      <c r="T274" s="37"/>
      <c r="U274" s="37"/>
      <c r="V274" s="37"/>
      <c r="W274" s="37"/>
      <c r="X274" s="37"/>
      <c r="Y274" s="37"/>
      <c r="Z274" s="126"/>
      <c r="AA274" s="126"/>
      <c r="AB274" s="126"/>
      <c r="AC274" s="126">
        <f t="shared" ref="AC274" si="358">AC273</f>
        <v>0</v>
      </c>
      <c r="AD274" s="125">
        <f t="shared" si="345"/>
        <v>0</v>
      </c>
      <c r="AE274" s="126"/>
      <c r="AF274" s="126">
        <f t="shared" si="346"/>
        <v>0</v>
      </c>
      <c r="AG274" s="126">
        <f t="shared" si="346"/>
        <v>0</v>
      </c>
      <c r="AH274" s="126"/>
      <c r="AI274" s="126">
        <f>AI273</f>
        <v>0</v>
      </c>
      <c r="AJ274" s="126">
        <f>AJ273</f>
        <v>0</v>
      </c>
      <c r="AK274" s="126"/>
      <c r="AL274" s="126">
        <f>AL273</f>
        <v>15034.168999999998</v>
      </c>
      <c r="AM274" s="125">
        <f t="shared" si="356"/>
        <v>16838.26928</v>
      </c>
      <c r="AN274" s="126"/>
      <c r="AO274" s="125">
        <f>AO273</f>
        <v>-32469.669383838384</v>
      </c>
      <c r="AP274" s="125">
        <f>AP273</f>
        <v>-36366.02970989899</v>
      </c>
      <c r="AQ274" s="125"/>
      <c r="AR274" s="128" t="str">
        <f t="shared" si="349"/>
        <v/>
      </c>
      <c r="AS274" s="129"/>
      <c r="AT274" s="129">
        <f>AL274</f>
        <v>15034.168999999998</v>
      </c>
      <c r="AU274" s="129"/>
      <c r="AV274" s="125">
        <f>AL274</f>
        <v>15034.168999999998</v>
      </c>
      <c r="AW274" s="125">
        <f t="shared" si="357"/>
        <v>16838.26928</v>
      </c>
      <c r="AX274" s="125"/>
      <c r="AY274" s="125"/>
      <c r="AZ274" s="125"/>
      <c r="BA274" s="125"/>
      <c r="BB274" s="125"/>
      <c r="BC274" s="125"/>
      <c r="BD274" s="125"/>
      <c r="BE274" s="125"/>
      <c r="BF274" s="125"/>
      <c r="BG274" s="125"/>
      <c r="BH274" s="125"/>
      <c r="BI274" s="125"/>
      <c r="BJ274" s="125"/>
      <c r="BK274" s="125"/>
      <c r="BL274" s="125"/>
      <c r="BM274" s="25"/>
      <c r="BN274" s="25"/>
      <c r="BO274" s="25"/>
      <c r="BP274" s="25"/>
      <c r="BQ274" s="25"/>
      <c r="BR274" s="25"/>
      <c r="BS274" s="25"/>
      <c r="BT274" s="25"/>
      <c r="BW274" s="25"/>
      <c r="BX274" s="26"/>
    </row>
    <row r="275" spans="1:76" s="204" customFormat="1" ht="17.25" hidden="1" customHeight="1" outlineLevel="1" x14ac:dyDescent="0.25">
      <c r="A275" s="416"/>
      <c r="B275" s="392"/>
      <c r="C275" s="193" t="s">
        <v>69</v>
      </c>
      <c r="D275" s="193" t="s">
        <v>70</v>
      </c>
      <c r="E275" s="194"/>
      <c r="F275" s="194"/>
      <c r="G275" s="403"/>
      <c r="H275" s="405"/>
      <c r="I275" s="195"/>
      <c r="J275" s="195"/>
      <c r="K275" s="359"/>
      <c r="L275" s="420"/>
      <c r="M275" s="406" t="s">
        <v>96</v>
      </c>
      <c r="N275" s="196">
        <f t="shared" si="344"/>
        <v>0</v>
      </c>
      <c r="O275" s="196">
        <f t="shared" si="344"/>
        <v>0</v>
      </c>
      <c r="P275" s="196">
        <f>Q275/1.12</f>
        <v>0</v>
      </c>
      <c r="Q275" s="196"/>
      <c r="R275" s="369"/>
      <c r="S275" s="365"/>
      <c r="T275" s="214"/>
      <c r="U275" s="214"/>
      <c r="V275" s="214"/>
      <c r="W275" s="214"/>
      <c r="X275" s="214"/>
      <c r="Y275" s="214"/>
      <c r="Z275" s="198"/>
      <c r="AA275" s="198"/>
      <c r="AB275" s="198"/>
      <c r="AC275" s="198"/>
      <c r="AD275" s="199">
        <f t="shared" si="345"/>
        <v>0</v>
      </c>
      <c r="AE275" s="198"/>
      <c r="AF275" s="198">
        <f t="shared" si="346"/>
        <v>0</v>
      </c>
      <c r="AG275" s="198">
        <f t="shared" si="346"/>
        <v>0</v>
      </c>
      <c r="AH275" s="198">
        <f t="shared" si="346"/>
        <v>0</v>
      </c>
      <c r="AI275" s="198"/>
      <c r="AJ275" s="198"/>
      <c r="AK275" s="198"/>
      <c r="AL275" s="198"/>
      <c r="AM275" s="199">
        <f t="shared" si="356"/>
        <v>0</v>
      </c>
      <c r="AN275" s="198"/>
      <c r="AO275" s="199">
        <f>AL275-AI275</f>
        <v>0</v>
      </c>
      <c r="AP275" s="199">
        <f>AO275*1.12</f>
        <v>0</v>
      </c>
      <c r="AQ275" s="199">
        <f t="shared" ref="AQ275" si="359">AN275-AK275</f>
        <v>0</v>
      </c>
      <c r="AR275" s="200" t="str">
        <f t="shared" si="349"/>
        <v/>
      </c>
      <c r="AS275" s="201"/>
      <c r="AT275" s="201"/>
      <c r="AU275" s="201"/>
      <c r="AV275" s="199"/>
      <c r="AW275" s="199">
        <f>AV275*1.12</f>
        <v>0</v>
      </c>
      <c r="AX275" s="199"/>
      <c r="AY275" s="199"/>
      <c r="AZ275" s="199"/>
      <c r="BA275" s="199"/>
      <c r="BB275" s="199"/>
      <c r="BC275" s="199"/>
      <c r="BD275" s="199"/>
      <c r="BE275" s="199"/>
      <c r="BF275" s="199"/>
      <c r="BG275" s="199"/>
      <c r="BH275" s="199"/>
      <c r="BI275" s="199"/>
      <c r="BJ275" s="199"/>
      <c r="BK275" s="199"/>
      <c r="BL275" s="199"/>
      <c r="BM275" s="202"/>
      <c r="BN275" s="202"/>
      <c r="BO275" s="202"/>
      <c r="BP275" s="202"/>
      <c r="BQ275" s="202"/>
      <c r="BR275" s="202"/>
      <c r="BS275" s="202"/>
      <c r="BT275" s="202"/>
      <c r="BW275" s="202"/>
      <c r="BX275" s="205"/>
    </row>
    <row r="276" spans="1:76" s="97" customFormat="1" ht="17.25" hidden="1" customHeight="1" outlineLevel="1" x14ac:dyDescent="0.25">
      <c r="A276" s="416"/>
      <c r="B276" s="392"/>
      <c r="C276" s="117" t="s">
        <v>71</v>
      </c>
      <c r="D276" s="117" t="s">
        <v>72</v>
      </c>
      <c r="E276" s="163"/>
      <c r="F276" s="163"/>
      <c r="G276" s="403"/>
      <c r="H276" s="405"/>
      <c r="I276" s="161"/>
      <c r="J276" s="161"/>
      <c r="K276" s="371"/>
      <c r="L276" s="421"/>
      <c r="M276" s="406"/>
      <c r="N276" s="120">
        <f t="shared" si="344"/>
        <v>0</v>
      </c>
      <c r="O276" s="120">
        <f t="shared" si="344"/>
        <v>0</v>
      </c>
      <c r="P276" s="120">
        <f t="shared" ref="P276:P277" si="360">Q276/1.12</f>
        <v>0</v>
      </c>
      <c r="Q276" s="120">
        <f>Q275</f>
        <v>0</v>
      </c>
      <c r="R276" s="369"/>
      <c r="S276" s="365"/>
      <c r="T276" s="206"/>
      <c r="U276" s="206"/>
      <c r="V276" s="206"/>
      <c r="W276" s="206"/>
      <c r="X276" s="206"/>
      <c r="Y276" s="206"/>
      <c r="Z276" s="119"/>
      <c r="AA276" s="119"/>
      <c r="AB276" s="119"/>
      <c r="AC276" s="119"/>
      <c r="AD276" s="118">
        <f t="shared" si="345"/>
        <v>0</v>
      </c>
      <c r="AE276" s="119"/>
      <c r="AF276" s="119">
        <f t="shared" si="346"/>
        <v>0</v>
      </c>
      <c r="AG276" s="119">
        <f t="shared" si="346"/>
        <v>0</v>
      </c>
      <c r="AH276" s="119"/>
      <c r="AI276" s="119"/>
      <c r="AJ276" s="119"/>
      <c r="AK276" s="119"/>
      <c r="AL276" s="119"/>
      <c r="AM276" s="118">
        <f t="shared" si="356"/>
        <v>0</v>
      </c>
      <c r="AN276" s="119"/>
      <c r="AO276" s="118">
        <f>AL276-AI276</f>
        <v>0</v>
      </c>
      <c r="AP276" s="118">
        <f>AO276*1.12</f>
        <v>0</v>
      </c>
      <c r="AQ276" s="118"/>
      <c r="AR276" s="121" t="str">
        <f t="shared" si="349"/>
        <v/>
      </c>
      <c r="AS276" s="122"/>
      <c r="AT276" s="122">
        <f>AL276</f>
        <v>0</v>
      </c>
      <c r="AU276" s="122"/>
      <c r="AV276" s="118">
        <f>AL276</f>
        <v>0</v>
      </c>
      <c r="AW276" s="118">
        <f t="shared" ref="AW276:AW277" si="361">AV276*1.12</f>
        <v>0</v>
      </c>
      <c r="AX276" s="118"/>
      <c r="AY276" s="118"/>
      <c r="AZ276" s="118"/>
      <c r="BA276" s="118"/>
      <c r="BB276" s="118"/>
      <c r="BC276" s="118"/>
      <c r="BD276" s="118"/>
      <c r="BE276" s="118"/>
      <c r="BF276" s="118"/>
      <c r="BG276" s="118"/>
      <c r="BH276" s="118"/>
      <c r="BI276" s="118"/>
      <c r="BJ276" s="118"/>
      <c r="BK276" s="118"/>
      <c r="BL276" s="118"/>
      <c r="BM276" s="100"/>
      <c r="BN276" s="100"/>
      <c r="BO276" s="100"/>
      <c r="BP276" s="100"/>
      <c r="BQ276" s="100"/>
      <c r="BR276" s="100"/>
      <c r="BS276" s="100"/>
      <c r="BT276" s="100"/>
      <c r="BU276" s="97">
        <v>16411374.199999999</v>
      </c>
      <c r="BW276" s="100"/>
      <c r="BX276" s="101"/>
    </row>
    <row r="277" spans="1:76" ht="17.25" hidden="1" customHeight="1" outlineLevel="1" x14ac:dyDescent="0.25">
      <c r="A277" s="416"/>
      <c r="B277" s="392"/>
      <c r="C277" s="124" t="s">
        <v>71</v>
      </c>
      <c r="D277" s="124" t="s">
        <v>73</v>
      </c>
      <c r="E277" s="167"/>
      <c r="F277" s="167"/>
      <c r="G277" s="403"/>
      <c r="H277" s="405"/>
      <c r="I277" s="166"/>
      <c r="J277" s="166"/>
      <c r="K277" s="360"/>
      <c r="L277" s="422"/>
      <c r="M277" s="406"/>
      <c r="N277" s="127">
        <f t="shared" si="344"/>
        <v>0</v>
      </c>
      <c r="O277" s="127">
        <f t="shared" si="344"/>
        <v>0</v>
      </c>
      <c r="P277" s="127">
        <f t="shared" si="360"/>
        <v>0</v>
      </c>
      <c r="Q277" s="127">
        <f>Q276</f>
        <v>0</v>
      </c>
      <c r="R277" s="369"/>
      <c r="S277" s="365"/>
      <c r="T277" s="37"/>
      <c r="U277" s="37"/>
      <c r="V277" s="37"/>
      <c r="W277" s="37"/>
      <c r="X277" s="37"/>
      <c r="Y277" s="37"/>
      <c r="Z277" s="126"/>
      <c r="AA277" s="126"/>
      <c r="AB277" s="126"/>
      <c r="AC277" s="126">
        <f t="shared" ref="AC277" si="362">AC276</f>
        <v>0</v>
      </c>
      <c r="AD277" s="125">
        <f t="shared" si="345"/>
        <v>0</v>
      </c>
      <c r="AE277" s="126"/>
      <c r="AF277" s="126">
        <f t="shared" si="346"/>
        <v>0</v>
      </c>
      <c r="AG277" s="126">
        <f t="shared" si="346"/>
        <v>0</v>
      </c>
      <c r="AH277" s="126"/>
      <c r="AI277" s="126"/>
      <c r="AJ277" s="126"/>
      <c r="AK277" s="126"/>
      <c r="AL277" s="126">
        <f>AL276</f>
        <v>0</v>
      </c>
      <c r="AM277" s="125">
        <f t="shared" si="356"/>
        <v>0</v>
      </c>
      <c r="AN277" s="126"/>
      <c r="AO277" s="125">
        <f>AO276</f>
        <v>0</v>
      </c>
      <c r="AP277" s="125">
        <f>AP276</f>
        <v>0</v>
      </c>
      <c r="AQ277" s="125"/>
      <c r="AR277" s="128" t="str">
        <f t="shared" si="349"/>
        <v/>
      </c>
      <c r="AS277" s="129"/>
      <c r="AT277" s="129">
        <f>AL277</f>
        <v>0</v>
      </c>
      <c r="AU277" s="129"/>
      <c r="AV277" s="125">
        <f>AL277</f>
        <v>0</v>
      </c>
      <c r="AW277" s="125">
        <f t="shared" si="361"/>
        <v>0</v>
      </c>
      <c r="AX277" s="125"/>
      <c r="AY277" s="125"/>
      <c r="AZ277" s="125"/>
      <c r="BA277" s="125"/>
      <c r="BB277" s="125"/>
      <c r="BC277" s="125"/>
      <c r="BD277" s="125"/>
      <c r="BE277" s="125"/>
      <c r="BF277" s="125"/>
      <c r="BG277" s="125"/>
      <c r="BH277" s="125"/>
      <c r="BI277" s="125"/>
      <c r="BJ277" s="125"/>
      <c r="BK277" s="125"/>
      <c r="BL277" s="125"/>
      <c r="BM277" s="25"/>
      <c r="BN277" s="25"/>
      <c r="BO277" s="25"/>
      <c r="BP277" s="25"/>
      <c r="BQ277" s="25"/>
      <c r="BR277" s="25"/>
      <c r="BS277" s="25"/>
      <c r="BT277" s="25"/>
      <c r="BW277" s="25"/>
      <c r="BX277" s="26"/>
    </row>
    <row r="278" spans="1:76" s="204" customFormat="1" ht="17.25" hidden="1" customHeight="1" outlineLevel="1" x14ac:dyDescent="0.25">
      <c r="A278" s="416"/>
      <c r="B278" s="392"/>
      <c r="C278" s="193" t="s">
        <v>69</v>
      </c>
      <c r="D278" s="193" t="s">
        <v>70</v>
      </c>
      <c r="E278" s="194"/>
      <c r="F278" s="194"/>
      <c r="G278" s="403"/>
      <c r="H278" s="405"/>
      <c r="I278" s="195"/>
      <c r="J278" s="195"/>
      <c r="K278" s="359"/>
      <c r="L278" s="369"/>
      <c r="M278" s="406" t="s">
        <v>96</v>
      </c>
      <c r="N278" s="196">
        <f t="shared" si="344"/>
        <v>0</v>
      </c>
      <c r="O278" s="196">
        <f t="shared" si="344"/>
        <v>0</v>
      </c>
      <c r="P278" s="196">
        <f>Q278/1.12</f>
        <v>0</v>
      </c>
      <c r="Q278" s="196"/>
      <c r="R278" s="369"/>
      <c r="S278" s="365"/>
      <c r="T278" s="214"/>
      <c r="U278" s="214"/>
      <c r="V278" s="214"/>
      <c r="W278" s="214"/>
      <c r="X278" s="214"/>
      <c r="Y278" s="214"/>
      <c r="Z278" s="198"/>
      <c r="AA278" s="198"/>
      <c r="AB278" s="198"/>
      <c r="AC278" s="198"/>
      <c r="AD278" s="199">
        <f t="shared" si="345"/>
        <v>0</v>
      </c>
      <c r="AE278" s="198"/>
      <c r="AF278" s="198">
        <f t="shared" si="346"/>
        <v>0</v>
      </c>
      <c r="AG278" s="198">
        <f t="shared" si="346"/>
        <v>0</v>
      </c>
      <c r="AH278" s="198">
        <f t="shared" si="346"/>
        <v>0</v>
      </c>
      <c r="AI278" s="198"/>
      <c r="AJ278" s="198"/>
      <c r="AK278" s="198"/>
      <c r="AL278" s="198"/>
      <c r="AM278" s="199">
        <f t="shared" si="356"/>
        <v>0</v>
      </c>
      <c r="AN278" s="198"/>
      <c r="AO278" s="199">
        <f>AL278-AI278</f>
        <v>0</v>
      </c>
      <c r="AP278" s="199">
        <f>AO278*1.12</f>
        <v>0</v>
      </c>
      <c r="AQ278" s="199">
        <f t="shared" ref="AQ278" si="363">AN278-AK278</f>
        <v>0</v>
      </c>
      <c r="AR278" s="200" t="str">
        <f t="shared" si="349"/>
        <v/>
      </c>
      <c r="AS278" s="201"/>
      <c r="AT278" s="201"/>
      <c r="AU278" s="201"/>
      <c r="AV278" s="199"/>
      <c r="AW278" s="199">
        <f>AV278*1.12</f>
        <v>0</v>
      </c>
      <c r="AX278" s="199"/>
      <c r="AY278" s="199"/>
      <c r="AZ278" s="199"/>
      <c r="BA278" s="199"/>
      <c r="BB278" s="199"/>
      <c r="BC278" s="199"/>
      <c r="BD278" s="199"/>
      <c r="BE278" s="199"/>
      <c r="BF278" s="237"/>
      <c r="BG278" s="199"/>
      <c r="BH278" s="199"/>
      <c r="BI278" s="199"/>
      <c r="BJ278" s="199"/>
      <c r="BK278" s="199"/>
      <c r="BL278" s="199"/>
      <c r="BM278" s="202"/>
      <c r="BN278" s="202"/>
      <c r="BO278" s="202"/>
      <c r="BP278" s="202"/>
      <c r="BQ278" s="202"/>
      <c r="BR278" s="202"/>
      <c r="BS278" s="202"/>
      <c r="BT278" s="202"/>
      <c r="BW278" s="202"/>
      <c r="BX278" s="205"/>
    </row>
    <row r="279" spans="1:76" s="97" customFormat="1" ht="17.25" hidden="1" customHeight="1" outlineLevel="1" x14ac:dyDescent="0.25">
      <c r="A279" s="416"/>
      <c r="B279" s="392"/>
      <c r="C279" s="117" t="s">
        <v>71</v>
      </c>
      <c r="D279" s="117" t="s">
        <v>72</v>
      </c>
      <c r="E279" s="163"/>
      <c r="F279" s="163"/>
      <c r="G279" s="403"/>
      <c r="H279" s="405"/>
      <c r="I279" s="161"/>
      <c r="J279" s="161"/>
      <c r="K279" s="371"/>
      <c r="L279" s="369"/>
      <c r="M279" s="406"/>
      <c r="N279" s="120">
        <f t="shared" si="344"/>
        <v>0</v>
      </c>
      <c r="O279" s="120">
        <f t="shared" si="344"/>
        <v>0</v>
      </c>
      <c r="P279" s="120">
        <f t="shared" ref="P279:P280" si="364">Q279/1.12</f>
        <v>0</v>
      </c>
      <c r="Q279" s="120">
        <f>Q278</f>
        <v>0</v>
      </c>
      <c r="R279" s="369"/>
      <c r="S279" s="365"/>
      <c r="T279" s="206"/>
      <c r="U279" s="206"/>
      <c r="V279" s="206"/>
      <c r="W279" s="206"/>
      <c r="X279" s="206"/>
      <c r="Y279" s="206"/>
      <c r="Z279" s="119"/>
      <c r="AA279" s="119"/>
      <c r="AB279" s="119"/>
      <c r="AC279" s="119"/>
      <c r="AD279" s="118">
        <f t="shared" si="345"/>
        <v>0</v>
      </c>
      <c r="AE279" s="119"/>
      <c r="AF279" s="119">
        <f t="shared" si="346"/>
        <v>0</v>
      </c>
      <c r="AG279" s="119">
        <f t="shared" si="346"/>
        <v>0</v>
      </c>
      <c r="AH279" s="119"/>
      <c r="AI279" s="119"/>
      <c r="AJ279" s="119"/>
      <c r="AK279" s="119"/>
      <c r="AL279" s="119"/>
      <c r="AM279" s="118">
        <f t="shared" si="356"/>
        <v>0</v>
      </c>
      <c r="AN279" s="119"/>
      <c r="AO279" s="118">
        <f>AL279-AI279</f>
        <v>0</v>
      </c>
      <c r="AP279" s="118">
        <f>AO279*1.12</f>
        <v>0</v>
      </c>
      <c r="AQ279" s="118"/>
      <c r="AR279" s="121" t="str">
        <f t="shared" si="349"/>
        <v/>
      </c>
      <c r="AS279" s="122"/>
      <c r="AT279" s="122">
        <f>AL279</f>
        <v>0</v>
      </c>
      <c r="AU279" s="122"/>
      <c r="AV279" s="118">
        <f>AL279</f>
        <v>0</v>
      </c>
      <c r="AW279" s="118">
        <f t="shared" ref="AW279:AW280" si="365">AV279*1.12</f>
        <v>0</v>
      </c>
      <c r="AX279" s="118"/>
      <c r="AY279" s="118"/>
      <c r="AZ279" s="118"/>
      <c r="BA279" s="118"/>
      <c r="BB279" s="118"/>
      <c r="BC279" s="118"/>
      <c r="BD279" s="118"/>
      <c r="BE279" s="118"/>
      <c r="BF279" s="118"/>
      <c r="BG279" s="118"/>
      <c r="BH279" s="118"/>
      <c r="BI279" s="118"/>
      <c r="BJ279" s="118"/>
      <c r="BK279" s="118"/>
      <c r="BL279" s="118"/>
      <c r="BM279" s="100"/>
      <c r="BN279" s="100"/>
      <c r="BO279" s="100"/>
      <c r="BP279" s="100"/>
      <c r="BQ279" s="100"/>
      <c r="BR279" s="100"/>
      <c r="BS279" s="100"/>
      <c r="BT279" s="100"/>
      <c r="BU279" s="97">
        <v>11562480</v>
      </c>
      <c r="BW279" s="100"/>
      <c r="BX279" s="101"/>
    </row>
    <row r="280" spans="1:76" ht="17.25" hidden="1" customHeight="1" outlineLevel="1" x14ac:dyDescent="0.25">
      <c r="A280" s="356"/>
      <c r="B280" s="393"/>
      <c r="C280" s="124" t="s">
        <v>71</v>
      </c>
      <c r="D280" s="124" t="s">
        <v>73</v>
      </c>
      <c r="E280" s="167"/>
      <c r="F280" s="167"/>
      <c r="G280" s="414"/>
      <c r="H280" s="415"/>
      <c r="I280" s="166"/>
      <c r="J280" s="166"/>
      <c r="K280" s="360"/>
      <c r="L280" s="369"/>
      <c r="M280" s="406"/>
      <c r="N280" s="127">
        <f t="shared" si="344"/>
        <v>0</v>
      </c>
      <c r="O280" s="127">
        <f t="shared" si="344"/>
        <v>0</v>
      </c>
      <c r="P280" s="127">
        <f t="shared" si="364"/>
        <v>0</v>
      </c>
      <c r="Q280" s="127">
        <f>Q279</f>
        <v>0</v>
      </c>
      <c r="R280" s="369"/>
      <c r="S280" s="365"/>
      <c r="T280" s="37"/>
      <c r="U280" s="37"/>
      <c r="V280" s="37"/>
      <c r="W280" s="37"/>
      <c r="X280" s="37"/>
      <c r="Y280" s="37"/>
      <c r="Z280" s="126"/>
      <c r="AA280" s="126"/>
      <c r="AB280" s="126"/>
      <c r="AC280" s="126">
        <f t="shared" ref="AC280" si="366">AC279</f>
        <v>0</v>
      </c>
      <c r="AD280" s="125">
        <f t="shared" si="345"/>
        <v>0</v>
      </c>
      <c r="AE280" s="126"/>
      <c r="AF280" s="126">
        <f t="shared" si="346"/>
        <v>0</v>
      </c>
      <c r="AG280" s="126">
        <f t="shared" si="346"/>
        <v>0</v>
      </c>
      <c r="AH280" s="126"/>
      <c r="AI280" s="126"/>
      <c r="AJ280" s="126"/>
      <c r="AK280" s="126"/>
      <c r="AL280" s="126">
        <f>AL279</f>
        <v>0</v>
      </c>
      <c r="AM280" s="125">
        <f t="shared" si="356"/>
        <v>0</v>
      </c>
      <c r="AN280" s="126"/>
      <c r="AO280" s="125">
        <f>AO279</f>
        <v>0</v>
      </c>
      <c r="AP280" s="125">
        <f>AP279</f>
        <v>0</v>
      </c>
      <c r="AQ280" s="125"/>
      <c r="AR280" s="128" t="str">
        <f t="shared" si="349"/>
        <v/>
      </c>
      <c r="AS280" s="129"/>
      <c r="AT280" s="129">
        <f>AL280</f>
        <v>0</v>
      </c>
      <c r="AU280" s="129"/>
      <c r="AV280" s="125">
        <f>AL280</f>
        <v>0</v>
      </c>
      <c r="AW280" s="125">
        <f t="shared" si="365"/>
        <v>0</v>
      </c>
      <c r="AX280" s="125"/>
      <c r="AY280" s="125"/>
      <c r="AZ280" s="125"/>
      <c r="BA280" s="125"/>
      <c r="BB280" s="125"/>
      <c r="BC280" s="125"/>
      <c r="BD280" s="125"/>
      <c r="BE280" s="125"/>
      <c r="BF280" s="125"/>
      <c r="BG280" s="125"/>
      <c r="BH280" s="125"/>
      <c r="BI280" s="125"/>
      <c r="BJ280" s="125"/>
      <c r="BK280" s="125"/>
      <c r="BL280" s="125"/>
      <c r="BM280" s="25"/>
      <c r="BN280" s="25"/>
      <c r="BO280" s="25"/>
      <c r="BP280" s="25"/>
      <c r="BQ280" s="25"/>
      <c r="BR280" s="25"/>
      <c r="BS280" s="25"/>
      <c r="BT280" s="25"/>
      <c r="BW280" s="25"/>
      <c r="BX280" s="26"/>
    </row>
    <row r="281" spans="1:76" s="189" customFormat="1" collapsed="1" x14ac:dyDescent="0.25">
      <c r="A281" s="355"/>
      <c r="B281" s="391" t="s">
        <v>153</v>
      </c>
      <c r="C281" s="180"/>
      <c r="D281" s="180"/>
      <c r="E281" s="182">
        <f>E283+E286+E289</f>
        <v>106020</v>
      </c>
      <c r="F281" s="182">
        <f>F283+F286+F289</f>
        <v>118742.40000000001</v>
      </c>
      <c r="G281" s="191"/>
      <c r="H281" s="182">
        <f>H283+H286+H289</f>
        <v>50</v>
      </c>
      <c r="I281" s="182">
        <f>I283+I286+I289</f>
        <v>106020</v>
      </c>
      <c r="J281" s="182">
        <f>J283+J286+J289</f>
        <v>118742.40000000001</v>
      </c>
      <c r="K281" s="407" t="s">
        <v>105</v>
      </c>
      <c r="L281" s="408"/>
      <c r="M281" s="417" t="s">
        <v>96</v>
      </c>
      <c r="N281" s="238">
        <f t="shared" ref="N281:Q282" si="367">N283+N286+N289</f>
        <v>84230891.482142851</v>
      </c>
      <c r="O281" s="238">
        <f t="shared" si="367"/>
        <v>94338598.460000008</v>
      </c>
      <c r="P281" s="238">
        <f t="shared" si="367"/>
        <v>84230891.482142851</v>
      </c>
      <c r="Q281" s="238">
        <f t="shared" si="367"/>
        <v>94338598.460000008</v>
      </c>
      <c r="R281" s="210"/>
      <c r="S281" s="413">
        <f>S283+S286+S289</f>
        <v>50</v>
      </c>
      <c r="T281" s="182">
        <f>T283+T286+T289</f>
        <v>0</v>
      </c>
      <c r="U281" s="182">
        <f>U283+U286+U289</f>
        <v>0</v>
      </c>
      <c r="V281" s="182">
        <f>V283+V286+V289</f>
        <v>0</v>
      </c>
      <c r="W281" s="182">
        <f t="shared" ref="W281:AQ282" si="368">W283+W286+W289</f>
        <v>0</v>
      </c>
      <c r="X281" s="182">
        <f t="shared" si="368"/>
        <v>0</v>
      </c>
      <c r="Y281" s="182">
        <f t="shared" si="368"/>
        <v>0</v>
      </c>
      <c r="Z281" s="182">
        <f t="shared" si="368"/>
        <v>0</v>
      </c>
      <c r="AA281" s="182">
        <f t="shared" si="368"/>
        <v>0</v>
      </c>
      <c r="AB281" s="182">
        <f t="shared" si="368"/>
        <v>0</v>
      </c>
      <c r="AC281" s="182">
        <f t="shared" si="368"/>
        <v>0</v>
      </c>
      <c r="AD281" s="182">
        <f t="shared" si="368"/>
        <v>0</v>
      </c>
      <c r="AE281" s="182">
        <f t="shared" si="368"/>
        <v>0</v>
      </c>
      <c r="AF281" s="182">
        <f t="shared" si="368"/>
        <v>0</v>
      </c>
      <c r="AG281" s="182">
        <f t="shared" si="368"/>
        <v>0</v>
      </c>
      <c r="AH281" s="182">
        <f t="shared" si="368"/>
        <v>0</v>
      </c>
      <c r="AI281" s="182">
        <f t="shared" si="368"/>
        <v>106020</v>
      </c>
      <c r="AJ281" s="182">
        <f t="shared" si="368"/>
        <v>118742.40000000001</v>
      </c>
      <c r="AK281" s="182">
        <f t="shared" si="368"/>
        <v>50</v>
      </c>
      <c r="AL281" s="182">
        <f t="shared" si="368"/>
        <v>55686</v>
      </c>
      <c r="AM281" s="182">
        <f t="shared" si="368"/>
        <v>62368.320000000007</v>
      </c>
      <c r="AN281" s="182">
        <f t="shared" si="368"/>
        <v>50</v>
      </c>
      <c r="AO281" s="182">
        <f>AO283+AO286+AO289</f>
        <v>-50334</v>
      </c>
      <c r="AP281" s="182">
        <f t="shared" si="368"/>
        <v>-56374.080000000009</v>
      </c>
      <c r="AQ281" s="182">
        <f t="shared" si="368"/>
        <v>0</v>
      </c>
      <c r="AR281" s="185">
        <f t="shared" si="349"/>
        <v>0.52524052065647986</v>
      </c>
      <c r="AS281" s="182">
        <f t="shared" ref="AS281:BL282" si="369">AS283+AS286+AS289</f>
        <v>0</v>
      </c>
      <c r="AT281" s="182">
        <f t="shared" si="369"/>
        <v>0</v>
      </c>
      <c r="AU281" s="182">
        <f t="shared" si="369"/>
        <v>0</v>
      </c>
      <c r="AV281" s="182">
        <f t="shared" si="369"/>
        <v>0</v>
      </c>
      <c r="AW281" s="182">
        <f t="shared" si="369"/>
        <v>0</v>
      </c>
      <c r="AX281" s="182">
        <f t="shared" si="369"/>
        <v>0</v>
      </c>
      <c r="AY281" s="182">
        <f t="shared" si="369"/>
        <v>0</v>
      </c>
      <c r="AZ281" s="182">
        <f t="shared" si="369"/>
        <v>-50334</v>
      </c>
      <c r="BA281" s="182">
        <f t="shared" si="369"/>
        <v>0</v>
      </c>
      <c r="BB281" s="182">
        <f t="shared" si="369"/>
        <v>0</v>
      </c>
      <c r="BC281" s="182">
        <f t="shared" si="369"/>
        <v>0</v>
      </c>
      <c r="BD281" s="182">
        <f t="shared" si="369"/>
        <v>0</v>
      </c>
      <c r="BE281" s="182">
        <f t="shared" si="369"/>
        <v>0</v>
      </c>
      <c r="BF281" s="182">
        <f t="shared" si="369"/>
        <v>0</v>
      </c>
      <c r="BG281" s="182">
        <f t="shared" si="369"/>
        <v>0</v>
      </c>
      <c r="BH281" s="182">
        <f t="shared" si="369"/>
        <v>0</v>
      </c>
      <c r="BI281" s="182">
        <f t="shared" si="369"/>
        <v>0</v>
      </c>
      <c r="BJ281" s="182">
        <f t="shared" si="369"/>
        <v>0</v>
      </c>
      <c r="BK281" s="182">
        <f t="shared" si="369"/>
        <v>0</v>
      </c>
      <c r="BL281" s="182">
        <f t="shared" si="369"/>
        <v>0</v>
      </c>
      <c r="BM281" s="186" t="s">
        <v>103</v>
      </c>
      <c r="BN281" s="181"/>
      <c r="BO281" s="188" t="e">
        <f>BO283+BO286+#REF!+BO435+BO440+BO444</f>
        <v>#REF!</v>
      </c>
      <c r="BP281" s="188" t="e">
        <f>BP283+BP286+#REF!+BP435+BP440+BP444</f>
        <v>#REF!</v>
      </c>
      <c r="BQ281" s="188" t="e">
        <f>BQ283+BQ286+#REF!+BQ435+BQ440+BQ444</f>
        <v>#REF!</v>
      </c>
      <c r="BR281" s="212"/>
      <c r="BS281" s="212"/>
      <c r="BT281" s="181"/>
      <c r="BW281" s="181"/>
      <c r="BX281" s="190"/>
    </row>
    <row r="282" spans="1:76" s="189" customFormat="1" x14ac:dyDescent="0.25">
      <c r="A282" s="416"/>
      <c r="B282" s="392"/>
      <c r="C282" s="180"/>
      <c r="D282" s="180"/>
      <c r="E282" s="182">
        <f>E284+E287+E290</f>
        <v>106020</v>
      </c>
      <c r="F282" s="182">
        <f>F284+F287+F290</f>
        <v>118742.40000000001</v>
      </c>
      <c r="G282" s="191"/>
      <c r="H282" s="182"/>
      <c r="I282" s="182">
        <f>I284+I287+I290</f>
        <v>106020</v>
      </c>
      <c r="J282" s="182">
        <f>J284+J287+J290</f>
        <v>118742.40000000001</v>
      </c>
      <c r="K282" s="409"/>
      <c r="L282" s="410"/>
      <c r="M282" s="417"/>
      <c r="N282" s="238">
        <f t="shared" si="367"/>
        <v>84230891.482142851</v>
      </c>
      <c r="O282" s="238">
        <f t="shared" si="367"/>
        <v>94338598.460000008</v>
      </c>
      <c r="P282" s="238">
        <f t="shared" si="367"/>
        <v>84230891.482142851</v>
      </c>
      <c r="Q282" s="238">
        <f t="shared" si="367"/>
        <v>94338598.460000008</v>
      </c>
      <c r="R282" s="210"/>
      <c r="S282" s="413"/>
      <c r="T282" s="182">
        <f>T284+T287+T290</f>
        <v>0</v>
      </c>
      <c r="U282" s="182">
        <f>U284+U287+U290</f>
        <v>0</v>
      </c>
      <c r="V282" s="192"/>
      <c r="W282" s="182">
        <f t="shared" si="368"/>
        <v>0</v>
      </c>
      <c r="X282" s="182">
        <f t="shared" si="368"/>
        <v>0</v>
      </c>
      <c r="Y282" s="192"/>
      <c r="Z282" s="182">
        <f t="shared" si="368"/>
        <v>0</v>
      </c>
      <c r="AA282" s="182">
        <f t="shared" si="368"/>
        <v>0</v>
      </c>
      <c r="AB282" s="192"/>
      <c r="AC282" s="182">
        <f t="shared" si="368"/>
        <v>0</v>
      </c>
      <c r="AD282" s="182">
        <f t="shared" si="368"/>
        <v>0</v>
      </c>
      <c r="AE282" s="192"/>
      <c r="AF282" s="182">
        <f t="shared" si="368"/>
        <v>0</v>
      </c>
      <c r="AG282" s="182">
        <f t="shared" si="368"/>
        <v>0</v>
      </c>
      <c r="AH282" s="192"/>
      <c r="AI282" s="182">
        <f t="shared" si="368"/>
        <v>106020</v>
      </c>
      <c r="AJ282" s="182">
        <f t="shared" si="368"/>
        <v>118742.40000000001</v>
      </c>
      <c r="AK282" s="192"/>
      <c r="AL282" s="182">
        <f t="shared" si="368"/>
        <v>50803.606249999997</v>
      </c>
      <c r="AM282" s="182">
        <f t="shared" si="368"/>
        <v>56900.039000000004</v>
      </c>
      <c r="AN282" s="192"/>
      <c r="AO282" s="182">
        <f t="shared" si="368"/>
        <v>-55216.393750000003</v>
      </c>
      <c r="AP282" s="182">
        <f t="shared" si="368"/>
        <v>-61842.361000000012</v>
      </c>
      <c r="AQ282" s="192"/>
      <c r="AR282" s="185">
        <f t="shared" si="349"/>
        <v>0.47918889124693453</v>
      </c>
      <c r="AS282" s="182">
        <f t="shared" si="369"/>
        <v>0</v>
      </c>
      <c r="AT282" s="182">
        <f t="shared" si="369"/>
        <v>50803.606249999997</v>
      </c>
      <c r="AU282" s="182">
        <f t="shared" si="369"/>
        <v>0</v>
      </c>
      <c r="AV282" s="182">
        <f t="shared" si="369"/>
        <v>50803.606249999997</v>
      </c>
      <c r="AW282" s="182">
        <f t="shared" si="369"/>
        <v>56900.039000000004</v>
      </c>
      <c r="AX282" s="182">
        <f t="shared" si="369"/>
        <v>0</v>
      </c>
      <c r="AY282" s="182">
        <f t="shared" si="369"/>
        <v>0</v>
      </c>
      <c r="AZ282" s="182">
        <f t="shared" si="369"/>
        <v>0</v>
      </c>
      <c r="BA282" s="182">
        <f t="shared" si="369"/>
        <v>0</v>
      </c>
      <c r="BB282" s="182">
        <f t="shared" si="369"/>
        <v>0</v>
      </c>
      <c r="BC282" s="182">
        <f t="shared" si="369"/>
        <v>0</v>
      </c>
      <c r="BD282" s="182">
        <f t="shared" si="369"/>
        <v>0</v>
      </c>
      <c r="BE282" s="182">
        <f t="shared" si="369"/>
        <v>0</v>
      </c>
      <c r="BF282" s="182">
        <f t="shared" si="369"/>
        <v>0</v>
      </c>
      <c r="BG282" s="182">
        <f t="shared" si="369"/>
        <v>0</v>
      </c>
      <c r="BH282" s="182">
        <f t="shared" si="369"/>
        <v>0</v>
      </c>
      <c r="BI282" s="182">
        <f t="shared" si="369"/>
        <v>0</v>
      </c>
      <c r="BJ282" s="182">
        <f t="shared" si="369"/>
        <v>0</v>
      </c>
      <c r="BK282" s="182">
        <f t="shared" si="369"/>
        <v>0</v>
      </c>
      <c r="BL282" s="182">
        <f t="shared" si="369"/>
        <v>0</v>
      </c>
      <c r="BM282" s="181"/>
      <c r="BN282" s="181"/>
      <c r="BO282" s="188">
        <f>BO284+BO287+BO433+BO436+BO442+BO445</f>
        <v>0</v>
      </c>
      <c r="BP282" s="188">
        <f>BP284+BP287+BP433+BP436+BP442+BP445</f>
        <v>0</v>
      </c>
      <c r="BQ282" s="188">
        <f>BQ284+BQ287+BQ433+BQ436+BQ442+BQ445</f>
        <v>0</v>
      </c>
      <c r="BR282" s="212"/>
      <c r="BS282" s="212"/>
      <c r="BT282" s="181"/>
      <c r="BW282" s="181"/>
      <c r="BX282" s="190"/>
    </row>
    <row r="283" spans="1:76" s="204" customFormat="1" x14ac:dyDescent="0.25">
      <c r="A283" s="416"/>
      <c r="B283" s="392"/>
      <c r="C283" s="193" t="s">
        <v>69</v>
      </c>
      <c r="D283" s="193" t="s">
        <v>70</v>
      </c>
      <c r="E283" s="194">
        <f>I283</f>
        <v>106020</v>
      </c>
      <c r="F283" s="194">
        <f>E283*1.12</f>
        <v>118742.40000000001</v>
      </c>
      <c r="G283" s="402">
        <v>1919</v>
      </c>
      <c r="H283" s="404">
        <v>50</v>
      </c>
      <c r="I283" s="195">
        <v>106020</v>
      </c>
      <c r="J283" s="195">
        <f>I283*1.12</f>
        <v>118742.40000000001</v>
      </c>
      <c r="K283" s="382" t="s">
        <v>111</v>
      </c>
      <c r="L283" s="379" t="s">
        <v>137</v>
      </c>
      <c r="M283" s="406" t="s">
        <v>96</v>
      </c>
      <c r="N283" s="196">
        <f t="shared" ref="N283:O291" si="370">P283</f>
        <v>33692594</v>
      </c>
      <c r="O283" s="196">
        <f t="shared" si="370"/>
        <v>37735705.280000001</v>
      </c>
      <c r="P283" s="196">
        <f>Q283/1.12</f>
        <v>33692594</v>
      </c>
      <c r="Q283" s="196">
        <v>37735705.280000001</v>
      </c>
      <c r="R283" s="369" t="s">
        <v>147</v>
      </c>
      <c r="S283" s="365">
        <v>20</v>
      </c>
      <c r="T283" s="214"/>
      <c r="U283" s="214"/>
      <c r="V283" s="214"/>
      <c r="W283" s="214"/>
      <c r="X283" s="214"/>
      <c r="Y283" s="214"/>
      <c r="Z283" s="198"/>
      <c r="AA283" s="198"/>
      <c r="AB283" s="198"/>
      <c r="AC283" s="198"/>
      <c r="AD283" s="199">
        <f t="shared" ref="AD283:AD291" si="371">AC283*1.12</f>
        <v>0</v>
      </c>
      <c r="AE283" s="198"/>
      <c r="AF283" s="198">
        <f t="shared" ref="AF283:AH291" si="372">Z283+AC283</f>
        <v>0</v>
      </c>
      <c r="AG283" s="198">
        <f t="shared" si="372"/>
        <v>0</v>
      </c>
      <c r="AH283" s="198">
        <f t="shared" si="372"/>
        <v>0</v>
      </c>
      <c r="AI283" s="198">
        <f>21204+42408+42408</f>
        <v>106020</v>
      </c>
      <c r="AJ283" s="198">
        <f>AI283*1.12</f>
        <v>118742.40000000001</v>
      </c>
      <c r="AK283" s="198">
        <f>10+20+20</f>
        <v>50</v>
      </c>
      <c r="AL283" s="198">
        <f>9586+4373</f>
        <v>13959</v>
      </c>
      <c r="AM283" s="199">
        <f t="shared" ref="AM283:AM291" si="373">AL283*1.12</f>
        <v>15634.080000000002</v>
      </c>
      <c r="AN283" s="198">
        <f>14+6</f>
        <v>20</v>
      </c>
      <c r="AO283" s="199">
        <f>AL283-$AI$283/$AK$283*AN283+$AI$283/$AK$283*AQ283</f>
        <v>-28449</v>
      </c>
      <c r="AP283" s="199">
        <f>AO283*1.12</f>
        <v>-31862.880000000005</v>
      </c>
      <c r="AQ283" s="199">
        <f>AN283-(12+8+0)</f>
        <v>0</v>
      </c>
      <c r="AR283" s="200">
        <f t="shared" si="349"/>
        <v>0.13166383701188455</v>
      </c>
      <c r="AS283" s="201"/>
      <c r="AT283" s="201"/>
      <c r="AU283" s="201"/>
      <c r="AV283" s="199"/>
      <c r="AW283" s="199">
        <f>AV283*1.12</f>
        <v>0</v>
      </c>
      <c r="AX283" s="199"/>
      <c r="AY283" s="199"/>
      <c r="AZ283" s="199">
        <f>AL283-$AI$283/$AK$283*AN283</f>
        <v>-28449</v>
      </c>
      <c r="BA283" s="199"/>
      <c r="BB283" s="199"/>
      <c r="BC283" s="199"/>
      <c r="BD283" s="199"/>
      <c r="BE283" s="199"/>
      <c r="BF283" s="199">
        <f>$AI$283/$AK$283*AQ283</f>
        <v>0</v>
      </c>
      <c r="BG283" s="199"/>
      <c r="BH283" s="199"/>
      <c r="BI283" s="199"/>
      <c r="BJ283" s="199"/>
      <c r="BK283" s="199"/>
      <c r="BL283" s="199"/>
      <c r="BM283" s="202"/>
      <c r="BN283" s="202"/>
      <c r="BO283" s="202"/>
      <c r="BP283" s="202"/>
      <c r="BQ283" s="202"/>
      <c r="BR283" s="202"/>
      <c r="BS283" s="202"/>
      <c r="BT283" s="202"/>
      <c r="BW283" s="202"/>
      <c r="BX283" s="205"/>
    </row>
    <row r="284" spans="1:76" s="97" customFormat="1" x14ac:dyDescent="0.25">
      <c r="A284" s="416"/>
      <c r="B284" s="392"/>
      <c r="C284" s="117" t="s">
        <v>71</v>
      </c>
      <c r="D284" s="117" t="s">
        <v>72</v>
      </c>
      <c r="E284" s="163">
        <f>E283</f>
        <v>106020</v>
      </c>
      <c r="F284" s="163">
        <f>E284*1.12</f>
        <v>118742.40000000001</v>
      </c>
      <c r="G284" s="403"/>
      <c r="H284" s="405"/>
      <c r="I284" s="161">
        <f>I283</f>
        <v>106020</v>
      </c>
      <c r="J284" s="161">
        <f>I284*1.12</f>
        <v>118742.40000000001</v>
      </c>
      <c r="K284" s="383"/>
      <c r="L284" s="380"/>
      <c r="M284" s="406"/>
      <c r="N284" s="120">
        <f t="shared" si="370"/>
        <v>33692594</v>
      </c>
      <c r="O284" s="120">
        <f t="shared" si="370"/>
        <v>37735705.280000001</v>
      </c>
      <c r="P284" s="120">
        <f t="shared" ref="P284:P285" si="374">Q284/1.12</f>
        <v>33692594</v>
      </c>
      <c r="Q284" s="120">
        <f>Q283</f>
        <v>37735705.280000001</v>
      </c>
      <c r="R284" s="369"/>
      <c r="S284" s="365"/>
      <c r="T284" s="206"/>
      <c r="U284" s="206"/>
      <c r="V284" s="206"/>
      <c r="W284" s="206"/>
      <c r="X284" s="206"/>
      <c r="Y284" s="206"/>
      <c r="Z284" s="119"/>
      <c r="AA284" s="119"/>
      <c r="AB284" s="119"/>
      <c r="AC284" s="119"/>
      <c r="AD284" s="118">
        <f t="shared" si="371"/>
        <v>0</v>
      </c>
      <c r="AE284" s="119"/>
      <c r="AF284" s="119">
        <f t="shared" si="372"/>
        <v>0</v>
      </c>
      <c r="AG284" s="119">
        <f t="shared" si="372"/>
        <v>0</v>
      </c>
      <c r="AH284" s="119"/>
      <c r="AI284" s="119">
        <f>21204+42408+42408</f>
        <v>106020</v>
      </c>
      <c r="AJ284" s="119">
        <f>AI284*1.12</f>
        <v>118742.40000000001</v>
      </c>
      <c r="AK284" s="119"/>
      <c r="AL284" s="119">
        <f>10479.11664/1.12+4077.84599/1.12</f>
        <v>12997.2880625</v>
      </c>
      <c r="AM284" s="118">
        <f t="shared" si="373"/>
        <v>14556.962630000002</v>
      </c>
      <c r="AN284" s="119"/>
      <c r="AO284" s="118">
        <f>AL284-$AI$284/$AK$283*AN283+$AI$284/$AK$283*AQ283</f>
        <v>-29410.7119375</v>
      </c>
      <c r="AP284" s="118">
        <f>AO284*1.12</f>
        <v>-32939.997370000005</v>
      </c>
      <c r="AQ284" s="118"/>
      <c r="AR284" s="121">
        <f t="shared" si="349"/>
        <v>0.12259279440199962</v>
      </c>
      <c r="AS284" s="122"/>
      <c r="AT284" s="122">
        <f>AL284</f>
        <v>12997.2880625</v>
      </c>
      <c r="AU284" s="122"/>
      <c r="AV284" s="118">
        <f>AL284</f>
        <v>12997.2880625</v>
      </c>
      <c r="AW284" s="118">
        <f t="shared" ref="AW284:AW285" si="375">AV284*1.12</f>
        <v>14556.962630000002</v>
      </c>
      <c r="AX284" s="118"/>
      <c r="AY284" s="118"/>
      <c r="AZ284" s="118"/>
      <c r="BA284" s="118"/>
      <c r="BB284" s="118"/>
      <c r="BC284" s="118"/>
      <c r="BD284" s="118"/>
      <c r="BE284" s="118"/>
      <c r="BF284" s="118"/>
      <c r="BG284" s="118"/>
      <c r="BH284" s="118"/>
      <c r="BI284" s="118"/>
      <c r="BJ284" s="118"/>
      <c r="BK284" s="118"/>
      <c r="BL284" s="118"/>
      <c r="BM284" s="100"/>
      <c r="BN284" s="100"/>
      <c r="BO284" s="100"/>
      <c r="BP284" s="100"/>
      <c r="BQ284" s="100"/>
      <c r="BR284" s="100"/>
      <c r="BS284" s="100"/>
      <c r="BT284" s="100"/>
      <c r="BU284" s="97">
        <v>11562480</v>
      </c>
      <c r="BW284" s="100"/>
      <c r="BX284" s="101"/>
    </row>
    <row r="285" spans="1:76" x14ac:dyDescent="0.25">
      <c r="A285" s="416"/>
      <c r="B285" s="392"/>
      <c r="C285" s="124" t="s">
        <v>71</v>
      </c>
      <c r="D285" s="124" t="s">
        <v>73</v>
      </c>
      <c r="E285" s="167">
        <f>E284</f>
        <v>106020</v>
      </c>
      <c r="F285" s="167">
        <f>F284</f>
        <v>118742.40000000001</v>
      </c>
      <c r="G285" s="403"/>
      <c r="H285" s="405"/>
      <c r="I285" s="166">
        <f>I284</f>
        <v>106020</v>
      </c>
      <c r="J285" s="166">
        <f>J284</f>
        <v>118742.40000000001</v>
      </c>
      <c r="K285" s="384"/>
      <c r="L285" s="381"/>
      <c r="M285" s="406"/>
      <c r="N285" s="127">
        <f t="shared" si="370"/>
        <v>33692594</v>
      </c>
      <c r="O285" s="127">
        <f t="shared" si="370"/>
        <v>37735705.280000001</v>
      </c>
      <c r="P285" s="127">
        <f t="shared" si="374"/>
        <v>33692594</v>
      </c>
      <c r="Q285" s="127">
        <f>Q284</f>
        <v>37735705.280000001</v>
      </c>
      <c r="R285" s="369"/>
      <c r="S285" s="365"/>
      <c r="T285" s="37"/>
      <c r="U285" s="37"/>
      <c r="V285" s="37"/>
      <c r="W285" s="37"/>
      <c r="X285" s="37"/>
      <c r="Y285" s="37"/>
      <c r="Z285" s="126"/>
      <c r="AA285" s="126"/>
      <c r="AB285" s="126"/>
      <c r="AC285" s="126">
        <f>AC284</f>
        <v>0</v>
      </c>
      <c r="AD285" s="125">
        <f t="shared" si="371"/>
        <v>0</v>
      </c>
      <c r="AE285" s="126"/>
      <c r="AF285" s="126">
        <f t="shared" si="372"/>
        <v>0</v>
      </c>
      <c r="AG285" s="126">
        <f t="shared" si="372"/>
        <v>0</v>
      </c>
      <c r="AH285" s="126"/>
      <c r="AI285" s="126">
        <f>AI284</f>
        <v>106020</v>
      </c>
      <c r="AJ285" s="126">
        <f>AJ284</f>
        <v>118742.40000000001</v>
      </c>
      <c r="AK285" s="126"/>
      <c r="AL285" s="126">
        <f>AL284</f>
        <v>12997.2880625</v>
      </c>
      <c r="AM285" s="125">
        <f t="shared" si="373"/>
        <v>14556.962630000002</v>
      </c>
      <c r="AN285" s="126"/>
      <c r="AO285" s="125">
        <f>AO284</f>
        <v>-29410.7119375</v>
      </c>
      <c r="AP285" s="125">
        <f>AP284</f>
        <v>-32939.997370000005</v>
      </c>
      <c r="AQ285" s="125"/>
      <c r="AR285" s="128">
        <f t="shared" si="349"/>
        <v>0.12259279440199962</v>
      </c>
      <c r="AS285" s="129"/>
      <c r="AT285" s="129">
        <f>AL285</f>
        <v>12997.2880625</v>
      </c>
      <c r="AU285" s="129"/>
      <c r="AV285" s="125">
        <f>AL285</f>
        <v>12997.2880625</v>
      </c>
      <c r="AW285" s="125">
        <f t="shared" si="375"/>
        <v>14556.962630000002</v>
      </c>
      <c r="AX285" s="125"/>
      <c r="AY285" s="125"/>
      <c r="AZ285" s="125"/>
      <c r="BA285" s="125"/>
      <c r="BB285" s="125"/>
      <c r="BC285" s="125"/>
      <c r="BD285" s="125"/>
      <c r="BE285" s="125"/>
      <c r="BF285" s="125"/>
      <c r="BG285" s="125"/>
      <c r="BH285" s="125"/>
      <c r="BI285" s="125"/>
      <c r="BJ285" s="125"/>
      <c r="BK285" s="125"/>
      <c r="BL285" s="125"/>
      <c r="BM285" s="25"/>
      <c r="BN285" s="25"/>
      <c r="BO285" s="25"/>
      <c r="BP285" s="25"/>
      <c r="BQ285" s="25"/>
      <c r="BR285" s="25"/>
      <c r="BS285" s="25"/>
      <c r="BT285" s="25"/>
      <c r="BW285" s="25"/>
      <c r="BX285" s="26"/>
    </row>
    <row r="286" spans="1:76" s="204" customFormat="1" x14ac:dyDescent="0.25">
      <c r="A286" s="416"/>
      <c r="B286" s="392"/>
      <c r="C286" s="193" t="s">
        <v>69</v>
      </c>
      <c r="D286" s="193" t="s">
        <v>70</v>
      </c>
      <c r="E286" s="194"/>
      <c r="F286" s="194"/>
      <c r="G286" s="403"/>
      <c r="H286" s="405"/>
      <c r="I286" s="195"/>
      <c r="J286" s="195"/>
      <c r="K286" s="370" t="s">
        <v>154</v>
      </c>
      <c r="L286" s="419" t="s">
        <v>155</v>
      </c>
      <c r="M286" s="406" t="s">
        <v>96</v>
      </c>
      <c r="N286" s="196">
        <f t="shared" si="370"/>
        <v>33692000</v>
      </c>
      <c r="O286" s="196">
        <f t="shared" si="370"/>
        <v>37735040</v>
      </c>
      <c r="P286" s="196">
        <f>Q286/1.12</f>
        <v>33692000</v>
      </c>
      <c r="Q286" s="196">
        <v>37735040</v>
      </c>
      <c r="R286" s="369" t="s">
        <v>147</v>
      </c>
      <c r="S286" s="365">
        <v>20</v>
      </c>
      <c r="T286" s="214"/>
      <c r="U286" s="214"/>
      <c r="V286" s="214"/>
      <c r="W286" s="214"/>
      <c r="X286" s="214"/>
      <c r="Y286" s="214"/>
      <c r="Z286" s="198"/>
      <c r="AA286" s="198"/>
      <c r="AB286" s="198"/>
      <c r="AC286" s="198"/>
      <c r="AD286" s="199">
        <f t="shared" si="371"/>
        <v>0</v>
      </c>
      <c r="AE286" s="198"/>
      <c r="AF286" s="198">
        <f t="shared" si="372"/>
        <v>0</v>
      </c>
      <c r="AG286" s="198">
        <f t="shared" si="372"/>
        <v>0</v>
      </c>
      <c r="AH286" s="198">
        <f t="shared" si="372"/>
        <v>0</v>
      </c>
      <c r="AI286" s="198"/>
      <c r="AJ286" s="198"/>
      <c r="AK286" s="198"/>
      <c r="AL286" s="198">
        <f>18473+10739</f>
        <v>29212</v>
      </c>
      <c r="AM286" s="199">
        <f t="shared" si="373"/>
        <v>32717.440000000002</v>
      </c>
      <c r="AN286" s="198">
        <f>13+7</f>
        <v>20</v>
      </c>
      <c r="AO286" s="199">
        <f>AL286-$AI$283/$AK$283*AN286+$AI$283/$AK$283*AQ286</f>
        <v>-13196</v>
      </c>
      <c r="AP286" s="199">
        <f>AO286*1.12</f>
        <v>-14779.520000000002</v>
      </c>
      <c r="AQ286" s="199">
        <f>AN286-(13+7+0)</f>
        <v>0</v>
      </c>
      <c r="AR286" s="200" t="str">
        <f t="shared" si="349"/>
        <v/>
      </c>
      <c r="AS286" s="201"/>
      <c r="AT286" s="201"/>
      <c r="AU286" s="201"/>
      <c r="AV286" s="199"/>
      <c r="AW286" s="199">
        <f>AV286*1.12</f>
        <v>0</v>
      </c>
      <c r="AX286" s="199"/>
      <c r="AY286" s="199"/>
      <c r="AZ286" s="199">
        <f>AL286-$AI$283/$AK$283*AN286</f>
        <v>-13196</v>
      </c>
      <c r="BA286" s="199"/>
      <c r="BB286" s="199"/>
      <c r="BC286" s="199"/>
      <c r="BD286" s="199"/>
      <c r="BE286" s="199"/>
      <c r="BF286" s="237"/>
      <c r="BG286" s="199"/>
      <c r="BH286" s="199"/>
      <c r="BI286" s="199"/>
      <c r="BJ286" s="199"/>
      <c r="BK286" s="199"/>
      <c r="BL286" s="199"/>
      <c r="BM286" s="202"/>
      <c r="BN286" s="202"/>
      <c r="BO286" s="202"/>
      <c r="BP286" s="202"/>
      <c r="BQ286" s="202"/>
      <c r="BR286" s="202"/>
      <c r="BS286" s="202"/>
      <c r="BT286" s="202"/>
      <c r="BW286" s="202"/>
      <c r="BX286" s="205"/>
    </row>
    <row r="287" spans="1:76" s="97" customFormat="1" x14ac:dyDescent="0.25">
      <c r="A287" s="416"/>
      <c r="B287" s="392"/>
      <c r="C287" s="117" t="s">
        <v>71</v>
      </c>
      <c r="D287" s="117" t="s">
        <v>72</v>
      </c>
      <c r="E287" s="163"/>
      <c r="F287" s="163"/>
      <c r="G287" s="403"/>
      <c r="H287" s="405"/>
      <c r="I287" s="161"/>
      <c r="J287" s="161"/>
      <c r="K287" s="370"/>
      <c r="L287" s="419"/>
      <c r="M287" s="406"/>
      <c r="N287" s="120">
        <f t="shared" si="370"/>
        <v>33692000</v>
      </c>
      <c r="O287" s="120">
        <f t="shared" si="370"/>
        <v>37735040</v>
      </c>
      <c r="P287" s="120">
        <f t="shared" ref="P287:P288" si="376">Q287/1.12</f>
        <v>33692000</v>
      </c>
      <c r="Q287" s="120">
        <f>Q286</f>
        <v>37735040</v>
      </c>
      <c r="R287" s="369"/>
      <c r="S287" s="365"/>
      <c r="T287" s="206"/>
      <c r="U287" s="206"/>
      <c r="V287" s="206"/>
      <c r="W287" s="206"/>
      <c r="X287" s="206"/>
      <c r="Y287" s="206"/>
      <c r="Z287" s="119"/>
      <c r="AA287" s="119"/>
      <c r="AB287" s="119"/>
      <c r="AC287" s="119"/>
      <c r="AD287" s="118">
        <f t="shared" si="371"/>
        <v>0</v>
      </c>
      <c r="AE287" s="119"/>
      <c r="AF287" s="119">
        <f t="shared" si="372"/>
        <v>0</v>
      </c>
      <c r="AG287" s="119">
        <f t="shared" si="372"/>
        <v>0</v>
      </c>
      <c r="AH287" s="119"/>
      <c r="AI287" s="119"/>
      <c r="AJ287" s="119">
        <f>AI287*1.12</f>
        <v>0</v>
      </c>
      <c r="AK287" s="119"/>
      <c r="AL287" s="119">
        <f>19345.37201/1.12+11468.51264/1.12</f>
        <v>27512.397008928565</v>
      </c>
      <c r="AM287" s="118">
        <f t="shared" si="373"/>
        <v>30813.884649999996</v>
      </c>
      <c r="AN287" s="119"/>
      <c r="AO287" s="118">
        <f>AL287-$AI$284/$AK$283*AN286+$AI$284/$AK$283*AQ286</f>
        <v>-14895.602991071435</v>
      </c>
      <c r="AP287" s="118">
        <f>AO287*1.12</f>
        <v>-16683.07535000001</v>
      </c>
      <c r="AQ287" s="118"/>
      <c r="AR287" s="121" t="str">
        <f t="shared" si="349"/>
        <v/>
      </c>
      <c r="AS287" s="122"/>
      <c r="AT287" s="122">
        <f>AL287</f>
        <v>27512.397008928565</v>
      </c>
      <c r="AU287" s="122"/>
      <c r="AV287" s="118">
        <f>AL287</f>
        <v>27512.397008928565</v>
      </c>
      <c r="AW287" s="118">
        <f t="shared" ref="AW287:AW288" si="377">AV287*1.12</f>
        <v>30813.884649999996</v>
      </c>
      <c r="AX287" s="118"/>
      <c r="AY287" s="118"/>
      <c r="AZ287" s="118"/>
      <c r="BA287" s="118"/>
      <c r="BB287" s="118"/>
      <c r="BC287" s="118"/>
      <c r="BD287" s="118"/>
      <c r="BE287" s="118"/>
      <c r="BF287" s="118"/>
      <c r="BG287" s="118"/>
      <c r="BH287" s="118"/>
      <c r="BI287" s="118"/>
      <c r="BJ287" s="118"/>
      <c r="BK287" s="118"/>
      <c r="BL287" s="118"/>
      <c r="BM287" s="100"/>
      <c r="BN287" s="100"/>
      <c r="BO287" s="100"/>
      <c r="BP287" s="100"/>
      <c r="BQ287" s="100"/>
      <c r="BR287" s="100"/>
      <c r="BS287" s="100"/>
      <c r="BT287" s="100"/>
      <c r="BU287" s="97">
        <v>11562480</v>
      </c>
      <c r="BW287" s="100"/>
      <c r="BX287" s="101"/>
    </row>
    <row r="288" spans="1:76" x14ac:dyDescent="0.25">
      <c r="A288" s="416"/>
      <c r="B288" s="392"/>
      <c r="C288" s="124" t="s">
        <v>71</v>
      </c>
      <c r="D288" s="124" t="s">
        <v>73</v>
      </c>
      <c r="E288" s="167"/>
      <c r="F288" s="167"/>
      <c r="G288" s="403"/>
      <c r="H288" s="405"/>
      <c r="I288" s="166"/>
      <c r="J288" s="166"/>
      <c r="K288" s="370"/>
      <c r="L288" s="419"/>
      <c r="M288" s="406"/>
      <c r="N288" s="127">
        <f t="shared" si="370"/>
        <v>33692000</v>
      </c>
      <c r="O288" s="127">
        <f t="shared" si="370"/>
        <v>37735040</v>
      </c>
      <c r="P288" s="127">
        <f t="shared" si="376"/>
        <v>33692000</v>
      </c>
      <c r="Q288" s="127">
        <f>Q287</f>
        <v>37735040</v>
      </c>
      <c r="R288" s="369"/>
      <c r="S288" s="365"/>
      <c r="T288" s="37"/>
      <c r="U288" s="37"/>
      <c r="V288" s="37"/>
      <c r="W288" s="37"/>
      <c r="X288" s="37"/>
      <c r="Y288" s="37"/>
      <c r="Z288" s="126"/>
      <c r="AA288" s="126"/>
      <c r="AB288" s="126"/>
      <c r="AC288" s="126">
        <f>AC287</f>
        <v>0</v>
      </c>
      <c r="AD288" s="125">
        <f t="shared" si="371"/>
        <v>0</v>
      </c>
      <c r="AE288" s="126"/>
      <c r="AF288" s="126">
        <f t="shared" si="372"/>
        <v>0</v>
      </c>
      <c r="AG288" s="126">
        <f t="shared" si="372"/>
        <v>0</v>
      </c>
      <c r="AH288" s="126"/>
      <c r="AI288" s="126">
        <f>AI287</f>
        <v>0</v>
      </c>
      <c r="AJ288" s="126">
        <f>AJ287</f>
        <v>0</v>
      </c>
      <c r="AK288" s="126"/>
      <c r="AL288" s="126">
        <f>AL287</f>
        <v>27512.397008928565</v>
      </c>
      <c r="AM288" s="125">
        <f t="shared" si="373"/>
        <v>30813.884649999996</v>
      </c>
      <c r="AN288" s="126"/>
      <c r="AO288" s="125">
        <f>AO287</f>
        <v>-14895.602991071435</v>
      </c>
      <c r="AP288" s="125">
        <f>AP287</f>
        <v>-16683.07535000001</v>
      </c>
      <c r="AQ288" s="125"/>
      <c r="AR288" s="128" t="str">
        <f t="shared" si="349"/>
        <v/>
      </c>
      <c r="AS288" s="129"/>
      <c r="AT288" s="129">
        <f>AL288</f>
        <v>27512.397008928565</v>
      </c>
      <c r="AU288" s="129"/>
      <c r="AV288" s="125">
        <f>AL288</f>
        <v>27512.397008928565</v>
      </c>
      <c r="AW288" s="125">
        <f t="shared" si="377"/>
        <v>30813.884649999996</v>
      </c>
      <c r="AX288" s="125"/>
      <c r="AY288" s="125"/>
      <c r="AZ288" s="125"/>
      <c r="BA288" s="125"/>
      <c r="BB288" s="125"/>
      <c r="BC288" s="125"/>
      <c r="BD288" s="125"/>
      <c r="BE288" s="125"/>
      <c r="BF288" s="125"/>
      <c r="BG288" s="125"/>
      <c r="BH288" s="125"/>
      <c r="BI288" s="125"/>
      <c r="BJ288" s="125"/>
      <c r="BK288" s="125"/>
      <c r="BL288" s="125"/>
      <c r="BM288" s="25"/>
      <c r="BN288" s="25"/>
      <c r="BO288" s="25"/>
      <c r="BP288" s="25"/>
      <c r="BQ288" s="25"/>
      <c r="BR288" s="25"/>
      <c r="BS288" s="25"/>
      <c r="BT288" s="25"/>
      <c r="BW288" s="25"/>
      <c r="BX288" s="26"/>
    </row>
    <row r="289" spans="1:76" s="204" customFormat="1" x14ac:dyDescent="0.25">
      <c r="A289" s="416"/>
      <c r="B289" s="392"/>
      <c r="C289" s="193" t="s">
        <v>69</v>
      </c>
      <c r="D289" s="193" t="s">
        <v>70</v>
      </c>
      <c r="E289" s="194"/>
      <c r="F289" s="194"/>
      <c r="G289" s="403"/>
      <c r="H289" s="405"/>
      <c r="I289" s="195"/>
      <c r="J289" s="195"/>
      <c r="K289" s="370" t="s">
        <v>140</v>
      </c>
      <c r="L289" s="419" t="s">
        <v>141</v>
      </c>
      <c r="M289" s="406" t="s">
        <v>96</v>
      </c>
      <c r="N289" s="196">
        <f t="shared" si="370"/>
        <v>16846297.482142854</v>
      </c>
      <c r="O289" s="196">
        <f t="shared" si="370"/>
        <v>18867853.18</v>
      </c>
      <c r="P289" s="196">
        <f>Q289/1.12</f>
        <v>16846297.482142854</v>
      </c>
      <c r="Q289" s="196">
        <v>18867853.18</v>
      </c>
      <c r="R289" s="369" t="s">
        <v>147</v>
      </c>
      <c r="S289" s="365">
        <v>10</v>
      </c>
      <c r="T289" s="214"/>
      <c r="U289" s="214"/>
      <c r="V289" s="214"/>
      <c r="W289" s="214"/>
      <c r="X289" s="214"/>
      <c r="Y289" s="214"/>
      <c r="Z289" s="198"/>
      <c r="AA289" s="198"/>
      <c r="AB289" s="198"/>
      <c r="AC289" s="198"/>
      <c r="AD289" s="199">
        <f t="shared" si="371"/>
        <v>0</v>
      </c>
      <c r="AE289" s="198"/>
      <c r="AF289" s="198">
        <f t="shared" si="372"/>
        <v>0</v>
      </c>
      <c r="AG289" s="198">
        <f t="shared" si="372"/>
        <v>0</v>
      </c>
      <c r="AH289" s="198">
        <f t="shared" si="372"/>
        <v>0</v>
      </c>
      <c r="AI289" s="198"/>
      <c r="AJ289" s="198"/>
      <c r="AK289" s="198"/>
      <c r="AL289" s="198">
        <f>11597+1289-371</f>
        <v>12515</v>
      </c>
      <c r="AM289" s="199">
        <f t="shared" si="373"/>
        <v>14016.800000000001</v>
      </c>
      <c r="AN289" s="198">
        <f>5+3+1+1</f>
        <v>10</v>
      </c>
      <c r="AO289" s="199">
        <f>AL289-$AI$283/$AK$283*AN289+$AI$283/$AK$283*AQ289</f>
        <v>-8689</v>
      </c>
      <c r="AP289" s="199">
        <f>AO289*1.12</f>
        <v>-9731.68</v>
      </c>
      <c r="AQ289" s="199">
        <f>AN289-(5+5+0)</f>
        <v>0</v>
      </c>
      <c r="AR289" s="200" t="str">
        <f t="shared" si="349"/>
        <v/>
      </c>
      <c r="AS289" s="201"/>
      <c r="AT289" s="201"/>
      <c r="AU289" s="201"/>
      <c r="AV289" s="199"/>
      <c r="AW289" s="199">
        <f>AV289*1.12</f>
        <v>0</v>
      </c>
      <c r="AX289" s="199"/>
      <c r="AY289" s="199"/>
      <c r="AZ289" s="199">
        <f>AL289-$AI$283/$AK$283*AN289</f>
        <v>-8689</v>
      </c>
      <c r="BA289" s="199"/>
      <c r="BB289" s="199"/>
      <c r="BC289" s="199"/>
      <c r="BD289" s="199"/>
      <c r="BE289" s="199"/>
      <c r="BF289" s="237"/>
      <c r="BG289" s="199"/>
      <c r="BH289" s="199"/>
      <c r="BI289" s="199"/>
      <c r="BJ289" s="199"/>
      <c r="BK289" s="199">
        <f>AQ289*$AI$283/$AK$283</f>
        <v>0</v>
      </c>
      <c r="BL289" s="199"/>
      <c r="BM289" s="202"/>
      <c r="BN289" s="202"/>
      <c r="BO289" s="202"/>
      <c r="BP289" s="202"/>
      <c r="BQ289" s="202"/>
      <c r="BR289" s="202"/>
      <c r="BS289" s="202"/>
      <c r="BT289" s="202"/>
      <c r="BW289" s="202"/>
      <c r="BX289" s="205"/>
    </row>
    <row r="290" spans="1:76" s="97" customFormat="1" x14ac:dyDescent="0.25">
      <c r="A290" s="416"/>
      <c r="B290" s="392"/>
      <c r="C290" s="117" t="s">
        <v>71</v>
      </c>
      <c r="D290" s="117" t="s">
        <v>72</v>
      </c>
      <c r="E290" s="163"/>
      <c r="F290" s="163"/>
      <c r="G290" s="403"/>
      <c r="H290" s="405"/>
      <c r="I290" s="161"/>
      <c r="J290" s="161"/>
      <c r="K290" s="370"/>
      <c r="L290" s="419"/>
      <c r="M290" s="406"/>
      <c r="N290" s="120">
        <f t="shared" si="370"/>
        <v>16846297.482142854</v>
      </c>
      <c r="O290" s="120">
        <f t="shared" si="370"/>
        <v>18867853.18</v>
      </c>
      <c r="P290" s="120">
        <f t="shared" ref="P290:P291" si="378">Q290/1.12</f>
        <v>16846297.482142854</v>
      </c>
      <c r="Q290" s="120">
        <f>Q289</f>
        <v>18867853.18</v>
      </c>
      <c r="R290" s="369"/>
      <c r="S290" s="365"/>
      <c r="T290" s="206"/>
      <c r="U290" s="206"/>
      <c r="V290" s="206"/>
      <c r="W290" s="206"/>
      <c r="X290" s="206"/>
      <c r="Y290" s="206"/>
      <c r="Z290" s="119"/>
      <c r="AA290" s="119"/>
      <c r="AB290" s="119"/>
      <c r="AC290" s="119"/>
      <c r="AD290" s="118">
        <f t="shared" si="371"/>
        <v>0</v>
      </c>
      <c r="AE290" s="119"/>
      <c r="AF290" s="119">
        <f t="shared" si="372"/>
        <v>0</v>
      </c>
      <c r="AG290" s="119">
        <f t="shared" si="372"/>
        <v>0</v>
      </c>
      <c r="AH290" s="119"/>
      <c r="AI290" s="119"/>
      <c r="AJ290" s="119">
        <f>AI290*1.12</f>
        <v>0</v>
      </c>
      <c r="AK290" s="119"/>
      <c r="AL290" s="119">
        <f>6388.30668/1.12+3319.1545/1.12+881.02006/1.12+940.71048/1.12</f>
        <v>10293.921178571427</v>
      </c>
      <c r="AM290" s="118">
        <f t="shared" si="373"/>
        <v>11529.191719999999</v>
      </c>
      <c r="AN290" s="119"/>
      <c r="AO290" s="118">
        <f>AL290-$AI$284/$AK$283*AN289+$AI$284/$AK$283*AQ289</f>
        <v>-10910.078821428573</v>
      </c>
      <c r="AP290" s="118">
        <f>AO290*1.12</f>
        <v>-12219.288280000002</v>
      </c>
      <c r="AQ290" s="118"/>
      <c r="AR290" s="121" t="str">
        <f t="shared" si="349"/>
        <v/>
      </c>
      <c r="AS290" s="122"/>
      <c r="AT290" s="122">
        <f>AL290</f>
        <v>10293.921178571427</v>
      </c>
      <c r="AU290" s="122"/>
      <c r="AV290" s="118">
        <f>AL290</f>
        <v>10293.921178571427</v>
      </c>
      <c r="AW290" s="118">
        <f t="shared" ref="AW290:AW291" si="379">AV290*1.12</f>
        <v>11529.191719999999</v>
      </c>
      <c r="AX290" s="118"/>
      <c r="AY290" s="118"/>
      <c r="AZ290" s="118"/>
      <c r="BA290" s="118"/>
      <c r="BB290" s="118"/>
      <c r="BC290" s="118"/>
      <c r="BD290" s="118"/>
      <c r="BE290" s="118"/>
      <c r="BF290" s="118"/>
      <c r="BG290" s="118"/>
      <c r="BH290" s="118"/>
      <c r="BI290" s="118"/>
      <c r="BJ290" s="118"/>
      <c r="BK290" s="118"/>
      <c r="BL290" s="118"/>
      <c r="BM290" s="100"/>
      <c r="BN290" s="100"/>
      <c r="BO290" s="100"/>
      <c r="BP290" s="100"/>
      <c r="BQ290" s="100"/>
      <c r="BR290" s="100"/>
      <c r="BS290" s="100"/>
      <c r="BT290" s="100"/>
      <c r="BU290" s="97">
        <v>11562480</v>
      </c>
      <c r="BW290" s="100"/>
      <c r="BX290" s="101"/>
    </row>
    <row r="291" spans="1:76" x14ac:dyDescent="0.25">
      <c r="A291" s="356"/>
      <c r="B291" s="393"/>
      <c r="C291" s="124" t="s">
        <v>71</v>
      </c>
      <c r="D291" s="124" t="s">
        <v>73</v>
      </c>
      <c r="E291" s="167"/>
      <c r="F291" s="167"/>
      <c r="G291" s="414"/>
      <c r="H291" s="415"/>
      <c r="I291" s="166"/>
      <c r="J291" s="166"/>
      <c r="K291" s="370"/>
      <c r="L291" s="419"/>
      <c r="M291" s="406"/>
      <c r="N291" s="127">
        <f t="shared" si="370"/>
        <v>16846297.482142854</v>
      </c>
      <c r="O291" s="127">
        <f t="shared" si="370"/>
        <v>18867853.18</v>
      </c>
      <c r="P291" s="127">
        <f t="shared" si="378"/>
        <v>16846297.482142854</v>
      </c>
      <c r="Q291" s="127">
        <f>Q290</f>
        <v>18867853.18</v>
      </c>
      <c r="R291" s="369"/>
      <c r="S291" s="365"/>
      <c r="T291" s="37"/>
      <c r="U291" s="37"/>
      <c r="V291" s="37"/>
      <c r="W291" s="37"/>
      <c r="X291" s="37"/>
      <c r="Y291" s="37"/>
      <c r="Z291" s="126"/>
      <c r="AA291" s="126"/>
      <c r="AB291" s="126"/>
      <c r="AC291" s="126">
        <f>AC290</f>
        <v>0</v>
      </c>
      <c r="AD291" s="125">
        <f t="shared" si="371"/>
        <v>0</v>
      </c>
      <c r="AE291" s="126"/>
      <c r="AF291" s="126">
        <f t="shared" si="372"/>
        <v>0</v>
      </c>
      <c r="AG291" s="126">
        <f t="shared" si="372"/>
        <v>0</v>
      </c>
      <c r="AH291" s="126"/>
      <c r="AI291" s="126">
        <f>AI290</f>
        <v>0</v>
      </c>
      <c r="AJ291" s="126">
        <f>AJ290</f>
        <v>0</v>
      </c>
      <c r="AK291" s="126"/>
      <c r="AL291" s="126">
        <f>AL290</f>
        <v>10293.921178571427</v>
      </c>
      <c r="AM291" s="125">
        <f t="shared" si="373"/>
        <v>11529.191719999999</v>
      </c>
      <c r="AN291" s="126"/>
      <c r="AO291" s="125">
        <f>AO290</f>
        <v>-10910.078821428573</v>
      </c>
      <c r="AP291" s="125">
        <f>AP290</f>
        <v>-12219.288280000002</v>
      </c>
      <c r="AQ291" s="125"/>
      <c r="AR291" s="128" t="str">
        <f t="shared" si="349"/>
        <v/>
      </c>
      <c r="AS291" s="129"/>
      <c r="AT291" s="129">
        <f>AL291</f>
        <v>10293.921178571427</v>
      </c>
      <c r="AU291" s="129"/>
      <c r="AV291" s="125">
        <f>AL291</f>
        <v>10293.921178571427</v>
      </c>
      <c r="AW291" s="125">
        <f t="shared" si="379"/>
        <v>11529.191719999999</v>
      </c>
      <c r="AX291" s="125"/>
      <c r="AY291" s="125"/>
      <c r="AZ291" s="125"/>
      <c r="BA291" s="125"/>
      <c r="BB291" s="125"/>
      <c r="BC291" s="125"/>
      <c r="BD291" s="125"/>
      <c r="BE291" s="125"/>
      <c r="BF291" s="125"/>
      <c r="BG291" s="125"/>
      <c r="BH291" s="125"/>
      <c r="BI291" s="125"/>
      <c r="BJ291" s="125"/>
      <c r="BK291" s="125"/>
      <c r="BL291" s="125"/>
      <c r="BM291" s="25"/>
      <c r="BN291" s="25"/>
      <c r="BO291" s="25"/>
      <c r="BP291" s="25"/>
      <c r="BQ291" s="25"/>
      <c r="BR291" s="25"/>
      <c r="BS291" s="25"/>
      <c r="BT291" s="25"/>
      <c r="BW291" s="25"/>
      <c r="BX291" s="26"/>
    </row>
    <row r="292" spans="1:76" s="189" customFormat="1" x14ac:dyDescent="0.25">
      <c r="A292" s="355"/>
      <c r="B292" s="353" t="s">
        <v>156</v>
      </c>
      <c r="C292" s="180"/>
      <c r="D292" s="180"/>
      <c r="E292" s="182">
        <f>E294+E297+E300</f>
        <v>5347</v>
      </c>
      <c r="F292" s="182">
        <f>F294+F297+F300</f>
        <v>5988.64</v>
      </c>
      <c r="G292" s="191"/>
      <c r="H292" s="182">
        <f>H294+H297+H300</f>
        <v>3</v>
      </c>
      <c r="I292" s="182">
        <f>I294+I297+I300</f>
        <v>5347</v>
      </c>
      <c r="J292" s="182">
        <f>J294+J297+J300</f>
        <v>5988.64</v>
      </c>
      <c r="K292" s="407" t="s">
        <v>157</v>
      </c>
      <c r="L292" s="408"/>
      <c r="M292" s="417" t="s">
        <v>96</v>
      </c>
      <c r="N292" s="238">
        <f t="shared" ref="N292:Q293" si="380">N294+N297+N300</f>
        <v>5212429.9999999991</v>
      </c>
      <c r="O292" s="238">
        <f t="shared" si="380"/>
        <v>5837921.5999999996</v>
      </c>
      <c r="P292" s="238">
        <f t="shared" si="380"/>
        <v>5212429.9999999991</v>
      </c>
      <c r="Q292" s="238">
        <f t="shared" si="380"/>
        <v>5837921.5999999996</v>
      </c>
      <c r="R292" s="210"/>
      <c r="S292" s="413">
        <f>S294+S297+S300</f>
        <v>3</v>
      </c>
      <c r="T292" s="182">
        <f>T294+T297+T300</f>
        <v>0</v>
      </c>
      <c r="U292" s="182">
        <f>U294+U297+U300</f>
        <v>0</v>
      </c>
      <c r="V292" s="182">
        <f>V294+V297+V300</f>
        <v>0</v>
      </c>
      <c r="W292" s="182">
        <f t="shared" ref="W292:AQ293" si="381">W294+W297+W300</f>
        <v>0</v>
      </c>
      <c r="X292" s="182">
        <f t="shared" si="381"/>
        <v>0</v>
      </c>
      <c r="Y292" s="182">
        <f t="shared" si="381"/>
        <v>0</v>
      </c>
      <c r="Z292" s="182">
        <f t="shared" si="381"/>
        <v>0</v>
      </c>
      <c r="AA292" s="182">
        <f t="shared" si="381"/>
        <v>0</v>
      </c>
      <c r="AB292" s="182">
        <f t="shared" si="381"/>
        <v>0</v>
      </c>
      <c r="AC292" s="182">
        <f t="shared" si="381"/>
        <v>0</v>
      </c>
      <c r="AD292" s="182">
        <f t="shared" si="381"/>
        <v>0</v>
      </c>
      <c r="AE292" s="182">
        <f t="shared" si="381"/>
        <v>0</v>
      </c>
      <c r="AF292" s="182">
        <f t="shared" si="381"/>
        <v>0</v>
      </c>
      <c r="AG292" s="182">
        <f t="shared" si="381"/>
        <v>0</v>
      </c>
      <c r="AH292" s="182">
        <f t="shared" si="381"/>
        <v>0</v>
      </c>
      <c r="AI292" s="182">
        <f t="shared" si="381"/>
        <v>5347</v>
      </c>
      <c r="AJ292" s="182">
        <f t="shared" si="381"/>
        <v>5988.64</v>
      </c>
      <c r="AK292" s="182">
        <f t="shared" si="381"/>
        <v>3</v>
      </c>
      <c r="AL292" s="182">
        <f t="shared" si="381"/>
        <v>2848</v>
      </c>
      <c r="AM292" s="182">
        <f t="shared" si="381"/>
        <v>3189.76</v>
      </c>
      <c r="AN292" s="182">
        <f t="shared" si="381"/>
        <v>3</v>
      </c>
      <c r="AO292" s="182">
        <f t="shared" si="381"/>
        <v>-2499</v>
      </c>
      <c r="AP292" s="182">
        <f t="shared" si="381"/>
        <v>-2798.88</v>
      </c>
      <c r="AQ292" s="182">
        <f t="shared" si="381"/>
        <v>0</v>
      </c>
      <c r="AR292" s="185">
        <f t="shared" si="349"/>
        <v>0.53263512249859735</v>
      </c>
      <c r="AS292" s="182">
        <f t="shared" ref="AS292:BL293" si="382">AS294+AS297+AS300</f>
        <v>0</v>
      </c>
      <c r="AT292" s="182">
        <f t="shared" si="382"/>
        <v>0</v>
      </c>
      <c r="AU292" s="182">
        <f t="shared" si="382"/>
        <v>0</v>
      </c>
      <c r="AV292" s="182">
        <f t="shared" si="382"/>
        <v>0</v>
      </c>
      <c r="AW292" s="182">
        <f t="shared" si="382"/>
        <v>0</v>
      </c>
      <c r="AX292" s="182">
        <f t="shared" si="382"/>
        <v>0</v>
      </c>
      <c r="AY292" s="182">
        <f t="shared" si="382"/>
        <v>0</v>
      </c>
      <c r="AZ292" s="182">
        <f t="shared" si="382"/>
        <v>-2499</v>
      </c>
      <c r="BA292" s="182">
        <f t="shared" si="382"/>
        <v>0</v>
      </c>
      <c r="BB292" s="182">
        <f t="shared" si="382"/>
        <v>0</v>
      </c>
      <c r="BC292" s="182">
        <f t="shared" si="382"/>
        <v>0</v>
      </c>
      <c r="BD292" s="182">
        <f t="shared" si="382"/>
        <v>0</v>
      </c>
      <c r="BE292" s="182">
        <f t="shared" si="382"/>
        <v>0</v>
      </c>
      <c r="BF292" s="182">
        <f t="shared" si="382"/>
        <v>0</v>
      </c>
      <c r="BG292" s="182">
        <f t="shared" si="382"/>
        <v>0</v>
      </c>
      <c r="BH292" s="182">
        <f t="shared" si="382"/>
        <v>0</v>
      </c>
      <c r="BI292" s="182">
        <f t="shared" si="382"/>
        <v>0</v>
      </c>
      <c r="BJ292" s="182">
        <f t="shared" si="382"/>
        <v>0</v>
      </c>
      <c r="BK292" s="182">
        <f t="shared" si="382"/>
        <v>0</v>
      </c>
      <c r="BL292" s="182">
        <f t="shared" si="382"/>
        <v>0</v>
      </c>
      <c r="BM292" s="186" t="s">
        <v>103</v>
      </c>
      <c r="BN292" s="181"/>
      <c r="BO292" s="188" t="e">
        <f>BO294+BO297+#REF!+BO448+BO451+BO454</f>
        <v>#REF!</v>
      </c>
      <c r="BP292" s="188" t="e">
        <f>BP294+BP297+#REF!+BP448+BP451+BP454</f>
        <v>#REF!</v>
      </c>
      <c r="BQ292" s="188" t="e">
        <f>BQ294+BQ297+#REF!+BQ448+BQ451+BQ454</f>
        <v>#REF!</v>
      </c>
      <c r="BR292" s="212"/>
      <c r="BS292" s="212"/>
      <c r="BT292" s="181"/>
      <c r="BW292" s="181"/>
      <c r="BX292" s="190"/>
    </row>
    <row r="293" spans="1:76" s="189" customFormat="1" x14ac:dyDescent="0.25">
      <c r="A293" s="416"/>
      <c r="B293" s="375"/>
      <c r="C293" s="180"/>
      <c r="D293" s="180"/>
      <c r="E293" s="182">
        <f>E295+E298+E301</f>
        <v>5347</v>
      </c>
      <c r="F293" s="182">
        <f>F295+F298+F301</f>
        <v>5988.64</v>
      </c>
      <c r="G293" s="191"/>
      <c r="H293" s="182"/>
      <c r="I293" s="182">
        <f>I295+I298+I301</f>
        <v>3564</v>
      </c>
      <c r="J293" s="182">
        <f>J295+J298+J301</f>
        <v>3991.6800000000003</v>
      </c>
      <c r="K293" s="409"/>
      <c r="L293" s="410"/>
      <c r="M293" s="417"/>
      <c r="N293" s="238">
        <f t="shared" si="380"/>
        <v>5212429.9999999991</v>
      </c>
      <c r="O293" s="238">
        <f t="shared" si="380"/>
        <v>5837921.5999999996</v>
      </c>
      <c r="P293" s="238">
        <f t="shared" si="380"/>
        <v>5212429.9999999991</v>
      </c>
      <c r="Q293" s="238">
        <f t="shared" si="380"/>
        <v>5837921.5999999996</v>
      </c>
      <c r="R293" s="210"/>
      <c r="S293" s="413"/>
      <c r="T293" s="182">
        <f>T295+T298+T301</f>
        <v>0</v>
      </c>
      <c r="U293" s="182">
        <f>U295+U298+U301</f>
        <v>0</v>
      </c>
      <c r="V293" s="192"/>
      <c r="W293" s="182">
        <f t="shared" si="381"/>
        <v>0</v>
      </c>
      <c r="X293" s="182">
        <f t="shared" si="381"/>
        <v>0</v>
      </c>
      <c r="Y293" s="192"/>
      <c r="Z293" s="182">
        <f t="shared" si="381"/>
        <v>0</v>
      </c>
      <c r="AA293" s="182">
        <f t="shared" si="381"/>
        <v>0</v>
      </c>
      <c r="AB293" s="192"/>
      <c r="AC293" s="182">
        <f t="shared" si="381"/>
        <v>0</v>
      </c>
      <c r="AD293" s="182">
        <f t="shared" si="381"/>
        <v>0</v>
      </c>
      <c r="AE293" s="192"/>
      <c r="AF293" s="182">
        <f t="shared" si="381"/>
        <v>0</v>
      </c>
      <c r="AG293" s="182">
        <f t="shared" si="381"/>
        <v>0</v>
      </c>
      <c r="AH293" s="192"/>
      <c r="AI293" s="182">
        <f t="shared" si="381"/>
        <v>3564</v>
      </c>
      <c r="AJ293" s="182">
        <f t="shared" si="381"/>
        <v>3991.6800000000003</v>
      </c>
      <c r="AK293" s="192"/>
      <c r="AL293" s="182">
        <f t="shared" si="381"/>
        <v>1291.2844732142855</v>
      </c>
      <c r="AM293" s="182">
        <f t="shared" si="381"/>
        <v>1446.2386099999999</v>
      </c>
      <c r="AN293" s="192"/>
      <c r="AO293" s="182">
        <f t="shared" si="381"/>
        <v>-2272.7155267857142</v>
      </c>
      <c r="AP293" s="182">
        <f t="shared" si="381"/>
        <v>-2545.4413900000004</v>
      </c>
      <c r="AQ293" s="192"/>
      <c r="AR293" s="185">
        <f t="shared" si="349"/>
        <v>0.3623132640893057</v>
      </c>
      <c r="AS293" s="182">
        <f t="shared" si="382"/>
        <v>0</v>
      </c>
      <c r="AT293" s="182">
        <f t="shared" si="382"/>
        <v>1291.2844732142855</v>
      </c>
      <c r="AU293" s="182">
        <f t="shared" si="382"/>
        <v>0</v>
      </c>
      <c r="AV293" s="182">
        <f t="shared" si="382"/>
        <v>1291.2844732142855</v>
      </c>
      <c r="AW293" s="182">
        <f t="shared" si="382"/>
        <v>1446.2386099999999</v>
      </c>
      <c r="AX293" s="182">
        <f t="shared" si="382"/>
        <v>0</v>
      </c>
      <c r="AY293" s="182">
        <f t="shared" si="382"/>
        <v>0</v>
      </c>
      <c r="AZ293" s="182">
        <f t="shared" si="382"/>
        <v>0</v>
      </c>
      <c r="BA293" s="182">
        <f t="shared" si="382"/>
        <v>0</v>
      </c>
      <c r="BB293" s="182">
        <f t="shared" si="382"/>
        <v>0</v>
      </c>
      <c r="BC293" s="182">
        <f t="shared" si="382"/>
        <v>0</v>
      </c>
      <c r="BD293" s="182">
        <f t="shared" si="382"/>
        <v>0</v>
      </c>
      <c r="BE293" s="182">
        <f t="shared" si="382"/>
        <v>0</v>
      </c>
      <c r="BF293" s="182">
        <f t="shared" si="382"/>
        <v>0</v>
      </c>
      <c r="BG293" s="182">
        <f t="shared" si="382"/>
        <v>0</v>
      </c>
      <c r="BH293" s="182">
        <f t="shared" si="382"/>
        <v>0</v>
      </c>
      <c r="BI293" s="182">
        <f t="shared" si="382"/>
        <v>0</v>
      </c>
      <c r="BJ293" s="182">
        <f t="shared" si="382"/>
        <v>0</v>
      </c>
      <c r="BK293" s="182">
        <f t="shared" si="382"/>
        <v>0</v>
      </c>
      <c r="BL293" s="182">
        <f t="shared" si="382"/>
        <v>0</v>
      </c>
      <c r="BM293" s="181"/>
      <c r="BN293" s="181"/>
      <c r="BO293" s="188">
        <f>BO295+BO298+BO446+BO449+BO452+BO455</f>
        <v>0</v>
      </c>
      <c r="BP293" s="188">
        <f>BP295+BP298+BP446+BP449+BP452+BP455</f>
        <v>0</v>
      </c>
      <c r="BQ293" s="188">
        <f>BQ295+BQ298+BQ446+BQ449+BQ452+BQ455</f>
        <v>0</v>
      </c>
      <c r="BR293" s="212"/>
      <c r="BS293" s="212"/>
      <c r="BT293" s="181"/>
      <c r="BW293" s="181"/>
      <c r="BX293" s="190"/>
    </row>
    <row r="294" spans="1:76" s="204" customFormat="1" x14ac:dyDescent="0.25">
      <c r="A294" s="416"/>
      <c r="B294" s="375"/>
      <c r="C294" s="193" t="s">
        <v>69</v>
      </c>
      <c r="D294" s="193" t="s">
        <v>70</v>
      </c>
      <c r="E294" s="194">
        <f>I294</f>
        <v>5347</v>
      </c>
      <c r="F294" s="194">
        <f>E294*1.12</f>
        <v>5988.64</v>
      </c>
      <c r="G294" s="402">
        <v>1919</v>
      </c>
      <c r="H294" s="404">
        <v>3</v>
      </c>
      <c r="I294" s="195">
        <v>5347</v>
      </c>
      <c r="J294" s="195">
        <f>I294*1.12</f>
        <v>5988.64</v>
      </c>
      <c r="K294" s="382" t="s">
        <v>111</v>
      </c>
      <c r="L294" s="379" t="s">
        <v>137</v>
      </c>
      <c r="M294" s="406" t="s">
        <v>96</v>
      </c>
      <c r="N294" s="196">
        <f t="shared" ref="N294:O302" si="383">P294</f>
        <v>3474979.9999999995</v>
      </c>
      <c r="O294" s="196">
        <f t="shared" si="383"/>
        <v>3891977.6</v>
      </c>
      <c r="P294" s="196">
        <f>Q294/1.12</f>
        <v>3474979.9999999995</v>
      </c>
      <c r="Q294" s="196">
        <f>1945988.8+1945988.8</f>
        <v>3891977.6</v>
      </c>
      <c r="R294" s="369" t="s">
        <v>134</v>
      </c>
      <c r="S294" s="365">
        <f>1+1</f>
        <v>2</v>
      </c>
      <c r="T294" s="214"/>
      <c r="U294" s="214"/>
      <c r="V294" s="214"/>
      <c r="W294" s="214"/>
      <c r="X294" s="214"/>
      <c r="Y294" s="214"/>
      <c r="Z294" s="198"/>
      <c r="AA294" s="198"/>
      <c r="AB294" s="198"/>
      <c r="AC294" s="198"/>
      <c r="AD294" s="199">
        <f t="shared" ref="AD294:AD302" si="384">AC294*1.12</f>
        <v>0</v>
      </c>
      <c r="AE294" s="198"/>
      <c r="AF294" s="198">
        <f t="shared" ref="AF294:AH302" si="385">Z294+AC294</f>
        <v>0</v>
      </c>
      <c r="AG294" s="198">
        <f t="shared" si="385"/>
        <v>0</v>
      </c>
      <c r="AH294" s="198">
        <f t="shared" si="385"/>
        <v>0</v>
      </c>
      <c r="AI294" s="198">
        <f>1782+1782+1783</f>
        <v>5347</v>
      </c>
      <c r="AJ294" s="198">
        <f>AI294*1.12</f>
        <v>5988.64</v>
      </c>
      <c r="AK294" s="198">
        <f>1+1+1</f>
        <v>3</v>
      </c>
      <c r="AL294" s="198">
        <f>780+1846-1176</f>
        <v>1450</v>
      </c>
      <c r="AM294" s="199">
        <f t="shared" ref="AM294:AM302" si="386">AL294*1.12</f>
        <v>1624.0000000000002</v>
      </c>
      <c r="AN294" s="198">
        <f>1+1</f>
        <v>2</v>
      </c>
      <c r="AO294" s="199">
        <f>AL294-AI294</f>
        <v>-3897</v>
      </c>
      <c r="AP294" s="199">
        <f>AO294*1.12</f>
        <v>-4364.6400000000003</v>
      </c>
      <c r="AQ294" s="237">
        <f>AN294-(1+1+0)</f>
        <v>0</v>
      </c>
      <c r="AR294" s="200">
        <f t="shared" si="349"/>
        <v>0.27118010099121004</v>
      </c>
      <c r="AS294" s="201"/>
      <c r="AT294" s="201"/>
      <c r="AU294" s="201"/>
      <c r="AV294" s="199"/>
      <c r="AW294" s="199">
        <f>AV294*1.12</f>
        <v>0</v>
      </c>
      <c r="AX294" s="199"/>
      <c r="AY294" s="199">
        <f>AQ294*$AI$294/$AK$294</f>
        <v>0</v>
      </c>
      <c r="AZ294" s="199">
        <f>AL294-$AI$294/$AK$294*AN294</f>
        <v>-2114.6666666666665</v>
      </c>
      <c r="BA294" s="199"/>
      <c r="BB294" s="199"/>
      <c r="BC294" s="199"/>
      <c r="BD294" s="199"/>
      <c r="BE294" s="199"/>
      <c r="BF294" s="199"/>
      <c r="BG294" s="199"/>
      <c r="BH294" s="199"/>
      <c r="BI294" s="199"/>
      <c r="BJ294" s="199"/>
      <c r="BK294" s="199"/>
      <c r="BL294" s="199"/>
      <c r="BM294" s="202"/>
      <c r="BN294" s="202"/>
      <c r="BO294" s="202"/>
      <c r="BP294" s="202"/>
      <c r="BQ294" s="202"/>
      <c r="BR294" s="202"/>
      <c r="BS294" s="202"/>
      <c r="BT294" s="202"/>
      <c r="BW294" s="202"/>
      <c r="BX294" s="205"/>
    </row>
    <row r="295" spans="1:76" s="97" customFormat="1" x14ac:dyDescent="0.25">
      <c r="A295" s="416"/>
      <c r="B295" s="375"/>
      <c r="C295" s="117" t="s">
        <v>71</v>
      </c>
      <c r="D295" s="117" t="s">
        <v>72</v>
      </c>
      <c r="E295" s="163">
        <f>E294</f>
        <v>5347</v>
      </c>
      <c r="F295" s="163">
        <f>E295*1.12</f>
        <v>5988.64</v>
      </c>
      <c r="G295" s="403"/>
      <c r="H295" s="405"/>
      <c r="I295" s="161">
        <v>3564</v>
      </c>
      <c r="J295" s="161">
        <f>I295*1.12</f>
        <v>3991.6800000000003</v>
      </c>
      <c r="K295" s="383"/>
      <c r="L295" s="380"/>
      <c r="M295" s="406"/>
      <c r="N295" s="120">
        <f t="shared" si="383"/>
        <v>3474979.9999999995</v>
      </c>
      <c r="O295" s="120">
        <f t="shared" si="383"/>
        <v>3891977.6</v>
      </c>
      <c r="P295" s="120">
        <f t="shared" ref="P295:P296" si="387">Q295/1.12</f>
        <v>3474979.9999999995</v>
      </c>
      <c r="Q295" s="120">
        <f>Q294</f>
        <v>3891977.6</v>
      </c>
      <c r="R295" s="369"/>
      <c r="S295" s="365"/>
      <c r="T295" s="206"/>
      <c r="U295" s="206"/>
      <c r="V295" s="206"/>
      <c r="W295" s="206"/>
      <c r="X295" s="206"/>
      <c r="Y295" s="206"/>
      <c r="Z295" s="119"/>
      <c r="AA295" s="119"/>
      <c r="AB295" s="119"/>
      <c r="AC295" s="119"/>
      <c r="AD295" s="118">
        <f t="shared" si="384"/>
        <v>0</v>
      </c>
      <c r="AE295" s="119"/>
      <c r="AF295" s="119">
        <f t="shared" si="385"/>
        <v>0</v>
      </c>
      <c r="AG295" s="119">
        <f t="shared" si="385"/>
        <v>0</v>
      </c>
      <c r="AH295" s="119"/>
      <c r="AI295" s="119">
        <f>1782+1782</f>
        <v>3564</v>
      </c>
      <c r="AJ295" s="119">
        <f>AI295*1.12</f>
        <v>3991.6800000000003</v>
      </c>
      <c r="AK295" s="119"/>
      <c r="AL295" s="119">
        <f>751.83423/1.12+694.40438/1.12</f>
        <v>1291.2844732142855</v>
      </c>
      <c r="AM295" s="118">
        <f t="shared" si="386"/>
        <v>1446.2386099999999</v>
      </c>
      <c r="AN295" s="119"/>
      <c r="AO295" s="118">
        <f>AL295-AI295</f>
        <v>-2272.7155267857142</v>
      </c>
      <c r="AP295" s="118">
        <f>AO295*1.12</f>
        <v>-2545.4413900000004</v>
      </c>
      <c r="AQ295" s="118"/>
      <c r="AR295" s="121">
        <f t="shared" si="349"/>
        <v>0.3623132640893057</v>
      </c>
      <c r="AS295" s="122"/>
      <c r="AT295" s="122">
        <f>AL295</f>
        <v>1291.2844732142855</v>
      </c>
      <c r="AU295" s="122"/>
      <c r="AV295" s="118">
        <f>AL295</f>
        <v>1291.2844732142855</v>
      </c>
      <c r="AW295" s="118">
        <f t="shared" ref="AW295:AW296" si="388">AV295*1.12</f>
        <v>1446.2386099999999</v>
      </c>
      <c r="AX295" s="118"/>
      <c r="AY295" s="118"/>
      <c r="AZ295" s="118"/>
      <c r="BA295" s="118"/>
      <c r="BB295" s="118"/>
      <c r="BC295" s="118"/>
      <c r="BD295" s="118"/>
      <c r="BE295" s="118"/>
      <c r="BF295" s="118"/>
      <c r="BG295" s="118"/>
      <c r="BH295" s="118"/>
      <c r="BI295" s="118"/>
      <c r="BJ295" s="118"/>
      <c r="BK295" s="118"/>
      <c r="BL295" s="118"/>
      <c r="BM295" s="100"/>
      <c r="BN295" s="100"/>
      <c r="BO295" s="100"/>
      <c r="BP295" s="100"/>
      <c r="BQ295" s="100"/>
      <c r="BR295" s="100"/>
      <c r="BS295" s="100"/>
      <c r="BT295" s="100"/>
      <c r="BU295" s="97">
        <v>11562480</v>
      </c>
      <c r="BW295" s="100"/>
      <c r="BX295" s="101"/>
    </row>
    <row r="296" spans="1:76" x14ac:dyDescent="0.25">
      <c r="A296" s="416"/>
      <c r="B296" s="375"/>
      <c r="C296" s="124" t="s">
        <v>71</v>
      </c>
      <c r="D296" s="124" t="s">
        <v>73</v>
      </c>
      <c r="E296" s="167">
        <f>E295</f>
        <v>5347</v>
      </c>
      <c r="F296" s="167">
        <f>F295</f>
        <v>5988.64</v>
      </c>
      <c r="G296" s="403"/>
      <c r="H296" s="405"/>
      <c r="I296" s="166">
        <f>I295</f>
        <v>3564</v>
      </c>
      <c r="J296" s="166">
        <f>J295</f>
        <v>3991.6800000000003</v>
      </c>
      <c r="K296" s="384"/>
      <c r="L296" s="381"/>
      <c r="M296" s="406"/>
      <c r="N296" s="127">
        <f t="shared" si="383"/>
        <v>3474979.9999999995</v>
      </c>
      <c r="O296" s="127">
        <f t="shared" si="383"/>
        <v>3891977.6</v>
      </c>
      <c r="P296" s="127">
        <f t="shared" si="387"/>
        <v>3474979.9999999995</v>
      </c>
      <c r="Q296" s="127">
        <f>Q295</f>
        <v>3891977.6</v>
      </c>
      <c r="R296" s="369"/>
      <c r="S296" s="365"/>
      <c r="T296" s="37"/>
      <c r="U296" s="37"/>
      <c r="V296" s="37"/>
      <c r="W296" s="37"/>
      <c r="X296" s="37"/>
      <c r="Y296" s="37"/>
      <c r="Z296" s="126"/>
      <c r="AA296" s="126"/>
      <c r="AB296" s="126"/>
      <c r="AC296" s="126">
        <f>AC295</f>
        <v>0</v>
      </c>
      <c r="AD296" s="125">
        <f t="shared" si="384"/>
        <v>0</v>
      </c>
      <c r="AE296" s="126"/>
      <c r="AF296" s="126">
        <f t="shared" si="385"/>
        <v>0</v>
      </c>
      <c r="AG296" s="126">
        <f t="shared" si="385"/>
        <v>0</v>
      </c>
      <c r="AH296" s="126"/>
      <c r="AI296" s="126">
        <f>AI295</f>
        <v>3564</v>
      </c>
      <c r="AJ296" s="126">
        <f>AJ295</f>
        <v>3991.6800000000003</v>
      </c>
      <c r="AK296" s="126"/>
      <c r="AL296" s="126">
        <f>AL295</f>
        <v>1291.2844732142855</v>
      </c>
      <c r="AM296" s="125">
        <f t="shared" si="386"/>
        <v>1446.2386099999999</v>
      </c>
      <c r="AN296" s="126"/>
      <c r="AO296" s="125">
        <f>AO295</f>
        <v>-2272.7155267857142</v>
      </c>
      <c r="AP296" s="125">
        <f>AP295</f>
        <v>-2545.4413900000004</v>
      </c>
      <c r="AQ296" s="125"/>
      <c r="AR296" s="128">
        <f t="shared" si="349"/>
        <v>0.3623132640893057</v>
      </c>
      <c r="AS296" s="129"/>
      <c r="AT296" s="129">
        <f>AL296</f>
        <v>1291.2844732142855</v>
      </c>
      <c r="AU296" s="129"/>
      <c r="AV296" s="125">
        <f>AL296</f>
        <v>1291.2844732142855</v>
      </c>
      <c r="AW296" s="125">
        <f t="shared" si="388"/>
        <v>1446.2386099999999</v>
      </c>
      <c r="AX296" s="125"/>
      <c r="AY296" s="125"/>
      <c r="AZ296" s="125"/>
      <c r="BA296" s="125"/>
      <c r="BB296" s="125"/>
      <c r="BC296" s="125"/>
      <c r="BD296" s="125"/>
      <c r="BE296" s="125"/>
      <c r="BF296" s="125"/>
      <c r="BG296" s="125"/>
      <c r="BH296" s="125"/>
      <c r="BI296" s="125"/>
      <c r="BJ296" s="125"/>
      <c r="BK296" s="125"/>
      <c r="BL296" s="125"/>
      <c r="BM296" s="25"/>
      <c r="BN296" s="25"/>
      <c r="BO296" s="25"/>
      <c r="BP296" s="25"/>
      <c r="BQ296" s="25"/>
      <c r="BR296" s="25"/>
      <c r="BS296" s="25"/>
      <c r="BT296" s="25"/>
      <c r="BW296" s="25"/>
      <c r="BX296" s="26"/>
    </row>
    <row r="297" spans="1:76" s="204" customFormat="1" x14ac:dyDescent="0.25">
      <c r="A297" s="416"/>
      <c r="B297" s="375"/>
      <c r="C297" s="193" t="s">
        <v>69</v>
      </c>
      <c r="D297" s="193" t="s">
        <v>70</v>
      </c>
      <c r="E297" s="194"/>
      <c r="F297" s="194"/>
      <c r="G297" s="403"/>
      <c r="H297" s="405"/>
      <c r="I297" s="195"/>
      <c r="J297" s="195"/>
      <c r="K297" s="370" t="s">
        <v>154</v>
      </c>
      <c r="L297" s="369" t="s">
        <v>155</v>
      </c>
      <c r="M297" s="406" t="s">
        <v>96</v>
      </c>
      <c r="N297" s="196">
        <f t="shared" si="383"/>
        <v>1737449.9999999998</v>
      </c>
      <c r="O297" s="196">
        <f t="shared" si="383"/>
        <v>1945944</v>
      </c>
      <c r="P297" s="196">
        <f>Q297/1.12</f>
        <v>1737449.9999999998</v>
      </c>
      <c r="Q297" s="196">
        <v>1945944</v>
      </c>
      <c r="R297" s="369" t="s">
        <v>134</v>
      </c>
      <c r="S297" s="365">
        <v>1</v>
      </c>
      <c r="T297" s="214"/>
      <c r="U297" s="214"/>
      <c r="V297" s="214"/>
      <c r="W297" s="214"/>
      <c r="X297" s="214"/>
      <c r="Y297" s="214"/>
      <c r="Z297" s="198"/>
      <c r="AA297" s="198"/>
      <c r="AB297" s="198"/>
      <c r="AC297" s="198"/>
      <c r="AD297" s="199">
        <f t="shared" si="384"/>
        <v>0</v>
      </c>
      <c r="AE297" s="198"/>
      <c r="AF297" s="198">
        <f t="shared" si="385"/>
        <v>0</v>
      </c>
      <c r="AG297" s="198">
        <f t="shared" si="385"/>
        <v>0</v>
      </c>
      <c r="AH297" s="198">
        <f t="shared" si="385"/>
        <v>0</v>
      </c>
      <c r="AI297" s="198"/>
      <c r="AJ297" s="198"/>
      <c r="AK297" s="198"/>
      <c r="AL297" s="198">
        <v>1398</v>
      </c>
      <c r="AM297" s="199">
        <f t="shared" si="386"/>
        <v>1565.7600000000002</v>
      </c>
      <c r="AN297" s="198">
        <v>1</v>
      </c>
      <c r="AO297" s="199">
        <f>AL297-AI297</f>
        <v>1398</v>
      </c>
      <c r="AP297" s="199">
        <f>AO297*1.12</f>
        <v>1565.7600000000002</v>
      </c>
      <c r="AQ297" s="237">
        <f>AN297-(1)</f>
        <v>0</v>
      </c>
      <c r="AR297" s="200" t="str">
        <f t="shared" si="349"/>
        <v/>
      </c>
      <c r="AS297" s="201"/>
      <c r="AT297" s="201"/>
      <c r="AU297" s="201"/>
      <c r="AV297" s="199"/>
      <c r="AW297" s="199">
        <f>AV297*1.12</f>
        <v>0</v>
      </c>
      <c r="AX297" s="199"/>
      <c r="AY297" s="199"/>
      <c r="AZ297" s="199">
        <f>AL297-$AI$294/$AK$294*AN297</f>
        <v>-384.33333333333326</v>
      </c>
      <c r="BA297" s="199"/>
      <c r="BB297" s="199"/>
      <c r="BC297" s="199"/>
      <c r="BD297" s="199"/>
      <c r="BE297" s="199"/>
      <c r="BF297" s="237"/>
      <c r="BG297" s="199"/>
      <c r="BH297" s="199"/>
      <c r="BI297" s="199"/>
      <c r="BJ297" s="199"/>
      <c r="BK297" s="199"/>
      <c r="BL297" s="199"/>
      <c r="BM297" s="202"/>
      <c r="BN297" s="202"/>
      <c r="BO297" s="202"/>
      <c r="BP297" s="202"/>
      <c r="BQ297" s="202"/>
      <c r="BR297" s="202"/>
      <c r="BS297" s="202"/>
      <c r="BT297" s="202"/>
      <c r="BW297" s="202"/>
      <c r="BX297" s="205"/>
    </row>
    <row r="298" spans="1:76" s="97" customFormat="1" x14ac:dyDescent="0.25">
      <c r="A298" s="416"/>
      <c r="B298" s="375"/>
      <c r="C298" s="117" t="s">
        <v>71</v>
      </c>
      <c r="D298" s="117" t="s">
        <v>72</v>
      </c>
      <c r="E298" s="163"/>
      <c r="F298" s="163"/>
      <c r="G298" s="403"/>
      <c r="H298" s="405"/>
      <c r="I298" s="161"/>
      <c r="J298" s="161"/>
      <c r="K298" s="370"/>
      <c r="L298" s="369"/>
      <c r="M298" s="406"/>
      <c r="N298" s="120">
        <f t="shared" si="383"/>
        <v>1737449.9999999998</v>
      </c>
      <c r="O298" s="120">
        <f t="shared" si="383"/>
        <v>1945944</v>
      </c>
      <c r="P298" s="120">
        <f t="shared" ref="P298:P299" si="389">Q298/1.12</f>
        <v>1737449.9999999998</v>
      </c>
      <c r="Q298" s="120">
        <f>Q297</f>
        <v>1945944</v>
      </c>
      <c r="R298" s="369"/>
      <c r="S298" s="365"/>
      <c r="T298" s="206"/>
      <c r="U298" s="206"/>
      <c r="V298" s="206"/>
      <c r="W298" s="206"/>
      <c r="X298" s="206"/>
      <c r="Y298" s="206"/>
      <c r="Z298" s="119"/>
      <c r="AA298" s="119"/>
      <c r="AB298" s="119"/>
      <c r="AC298" s="119"/>
      <c r="AD298" s="118">
        <f t="shared" si="384"/>
        <v>0</v>
      </c>
      <c r="AE298" s="119"/>
      <c r="AF298" s="119">
        <f t="shared" si="385"/>
        <v>0</v>
      </c>
      <c r="AG298" s="119">
        <f t="shared" si="385"/>
        <v>0</v>
      </c>
      <c r="AH298" s="119"/>
      <c r="AI298" s="119"/>
      <c r="AJ298" s="119">
        <f>AI298*1.12</f>
        <v>0</v>
      </c>
      <c r="AK298" s="119"/>
      <c r="AL298" s="119"/>
      <c r="AM298" s="118">
        <f t="shared" si="386"/>
        <v>0</v>
      </c>
      <c r="AN298" s="119"/>
      <c r="AO298" s="118">
        <f>AL298-AI298</f>
        <v>0</v>
      </c>
      <c r="AP298" s="118">
        <f>AO298*1.12</f>
        <v>0</v>
      </c>
      <c r="AQ298" s="118"/>
      <c r="AR298" s="121" t="str">
        <f t="shared" si="349"/>
        <v/>
      </c>
      <c r="AS298" s="122"/>
      <c r="AT298" s="122">
        <f>AL298</f>
        <v>0</v>
      </c>
      <c r="AU298" s="122"/>
      <c r="AV298" s="118">
        <f>AL298</f>
        <v>0</v>
      </c>
      <c r="AW298" s="118">
        <f t="shared" ref="AW298:AW299" si="390">AV298*1.12</f>
        <v>0</v>
      </c>
      <c r="AX298" s="118"/>
      <c r="AY298" s="118"/>
      <c r="AZ298" s="118"/>
      <c r="BA298" s="118"/>
      <c r="BB298" s="118"/>
      <c r="BC298" s="118"/>
      <c r="BD298" s="118"/>
      <c r="BE298" s="118"/>
      <c r="BF298" s="118"/>
      <c r="BG298" s="118"/>
      <c r="BH298" s="118"/>
      <c r="BI298" s="118"/>
      <c r="BJ298" s="118"/>
      <c r="BK298" s="118"/>
      <c r="BL298" s="118"/>
      <c r="BM298" s="100"/>
      <c r="BN298" s="100"/>
      <c r="BO298" s="100"/>
      <c r="BP298" s="100"/>
      <c r="BQ298" s="100"/>
      <c r="BR298" s="100"/>
      <c r="BS298" s="100"/>
      <c r="BT298" s="100"/>
      <c r="BU298" s="97">
        <v>11562480</v>
      </c>
      <c r="BW298" s="100"/>
      <c r="BX298" s="101"/>
    </row>
    <row r="299" spans="1:76" x14ac:dyDescent="0.25">
      <c r="A299" s="416"/>
      <c r="B299" s="375"/>
      <c r="C299" s="124" t="s">
        <v>71</v>
      </c>
      <c r="D299" s="124" t="s">
        <v>73</v>
      </c>
      <c r="E299" s="167"/>
      <c r="F299" s="167"/>
      <c r="G299" s="403"/>
      <c r="H299" s="405"/>
      <c r="I299" s="166"/>
      <c r="J299" s="166"/>
      <c r="K299" s="370"/>
      <c r="L299" s="369"/>
      <c r="M299" s="406"/>
      <c r="N299" s="127">
        <f t="shared" si="383"/>
        <v>1737449.9999999998</v>
      </c>
      <c r="O299" s="127">
        <f t="shared" si="383"/>
        <v>1945944</v>
      </c>
      <c r="P299" s="127">
        <f t="shared" si="389"/>
        <v>1737449.9999999998</v>
      </c>
      <c r="Q299" s="127">
        <f>Q298</f>
        <v>1945944</v>
      </c>
      <c r="R299" s="369"/>
      <c r="S299" s="365"/>
      <c r="T299" s="37"/>
      <c r="U299" s="37"/>
      <c r="V299" s="37"/>
      <c r="W299" s="37"/>
      <c r="X299" s="37"/>
      <c r="Y299" s="37"/>
      <c r="Z299" s="126"/>
      <c r="AA299" s="126"/>
      <c r="AB299" s="126"/>
      <c r="AC299" s="126">
        <f>AC298</f>
        <v>0</v>
      </c>
      <c r="AD299" s="125">
        <f t="shared" si="384"/>
        <v>0</v>
      </c>
      <c r="AE299" s="126"/>
      <c r="AF299" s="126">
        <f t="shared" si="385"/>
        <v>0</v>
      </c>
      <c r="AG299" s="126">
        <f t="shared" si="385"/>
        <v>0</v>
      </c>
      <c r="AH299" s="126"/>
      <c r="AI299" s="126">
        <f>AI298</f>
        <v>0</v>
      </c>
      <c r="AJ299" s="126">
        <f>AJ298</f>
        <v>0</v>
      </c>
      <c r="AK299" s="126"/>
      <c r="AL299" s="126">
        <f>AL298</f>
        <v>0</v>
      </c>
      <c r="AM299" s="125">
        <f t="shared" si="386"/>
        <v>0</v>
      </c>
      <c r="AN299" s="126"/>
      <c r="AO299" s="125">
        <f>AO298</f>
        <v>0</v>
      </c>
      <c r="AP299" s="125">
        <f>AP298</f>
        <v>0</v>
      </c>
      <c r="AQ299" s="125"/>
      <c r="AR299" s="128" t="str">
        <f t="shared" si="349"/>
        <v/>
      </c>
      <c r="AS299" s="129"/>
      <c r="AT299" s="129">
        <f>AL299</f>
        <v>0</v>
      </c>
      <c r="AU299" s="129"/>
      <c r="AV299" s="125">
        <f>AL299</f>
        <v>0</v>
      </c>
      <c r="AW299" s="125">
        <f t="shared" si="390"/>
        <v>0</v>
      </c>
      <c r="AX299" s="125"/>
      <c r="AY299" s="125"/>
      <c r="AZ299" s="125"/>
      <c r="BA299" s="125"/>
      <c r="BB299" s="125"/>
      <c r="BC299" s="125"/>
      <c r="BD299" s="125"/>
      <c r="BE299" s="125"/>
      <c r="BF299" s="125"/>
      <c r="BG299" s="125"/>
      <c r="BH299" s="125"/>
      <c r="BI299" s="125"/>
      <c r="BJ299" s="125"/>
      <c r="BK299" s="125"/>
      <c r="BL299" s="125"/>
      <c r="BM299" s="25"/>
      <c r="BN299" s="25"/>
      <c r="BO299" s="25"/>
      <c r="BP299" s="25"/>
      <c r="BQ299" s="25"/>
      <c r="BR299" s="25"/>
      <c r="BS299" s="25"/>
      <c r="BT299" s="25"/>
      <c r="BW299" s="25"/>
      <c r="BX299" s="26"/>
    </row>
    <row r="300" spans="1:76" s="204" customFormat="1" hidden="1" outlineLevel="1" x14ac:dyDescent="0.25">
      <c r="A300" s="416"/>
      <c r="B300" s="375"/>
      <c r="C300" s="193" t="s">
        <v>69</v>
      </c>
      <c r="D300" s="193" t="s">
        <v>70</v>
      </c>
      <c r="E300" s="194"/>
      <c r="F300" s="194"/>
      <c r="G300" s="403"/>
      <c r="H300" s="405"/>
      <c r="I300" s="195"/>
      <c r="J300" s="195"/>
      <c r="K300" s="418"/>
      <c r="L300" s="369"/>
      <c r="M300" s="406" t="s">
        <v>96</v>
      </c>
      <c r="N300" s="196">
        <f t="shared" si="383"/>
        <v>0</v>
      </c>
      <c r="O300" s="196">
        <f t="shared" si="383"/>
        <v>0</v>
      </c>
      <c r="P300" s="196">
        <f>Q300/1.12</f>
        <v>0</v>
      </c>
      <c r="Q300" s="196"/>
      <c r="R300" s="369"/>
      <c r="S300" s="365"/>
      <c r="T300" s="214"/>
      <c r="U300" s="214"/>
      <c r="V300" s="214"/>
      <c r="W300" s="214"/>
      <c r="X300" s="214"/>
      <c r="Y300" s="214"/>
      <c r="Z300" s="198"/>
      <c r="AA300" s="198"/>
      <c r="AB300" s="198"/>
      <c r="AC300" s="198"/>
      <c r="AD300" s="199">
        <f t="shared" si="384"/>
        <v>0</v>
      </c>
      <c r="AE300" s="198"/>
      <c r="AF300" s="198">
        <f t="shared" si="385"/>
        <v>0</v>
      </c>
      <c r="AG300" s="198">
        <f t="shared" si="385"/>
        <v>0</v>
      </c>
      <c r="AH300" s="198">
        <f t="shared" si="385"/>
        <v>0</v>
      </c>
      <c r="AI300" s="198"/>
      <c r="AJ300" s="198"/>
      <c r="AK300" s="198"/>
      <c r="AL300" s="198"/>
      <c r="AM300" s="199">
        <f t="shared" si="386"/>
        <v>0</v>
      </c>
      <c r="AN300" s="198"/>
      <c r="AO300" s="199">
        <f>AL300-AI300</f>
        <v>0</v>
      </c>
      <c r="AP300" s="199">
        <f>AO300*1.12</f>
        <v>0</v>
      </c>
      <c r="AQ300" s="199">
        <f t="shared" ref="AQ300" si="391">AN300-AK300</f>
        <v>0</v>
      </c>
      <c r="AR300" s="200" t="str">
        <f t="shared" si="349"/>
        <v/>
      </c>
      <c r="AS300" s="201"/>
      <c r="AT300" s="201"/>
      <c r="AU300" s="201"/>
      <c r="AV300" s="199"/>
      <c r="AW300" s="199">
        <f>AV300*1.12</f>
        <v>0</v>
      </c>
      <c r="AX300" s="199"/>
      <c r="AY300" s="199"/>
      <c r="AZ300" s="199"/>
      <c r="BA300" s="199"/>
      <c r="BB300" s="199"/>
      <c r="BC300" s="199"/>
      <c r="BD300" s="199"/>
      <c r="BE300" s="199"/>
      <c r="BF300" s="237"/>
      <c r="BG300" s="199"/>
      <c r="BH300" s="199"/>
      <c r="BI300" s="199"/>
      <c r="BJ300" s="199"/>
      <c r="BK300" s="199"/>
      <c r="BL300" s="199"/>
      <c r="BM300" s="202"/>
      <c r="BN300" s="202"/>
      <c r="BO300" s="202"/>
      <c r="BP300" s="202"/>
      <c r="BQ300" s="202"/>
      <c r="BR300" s="202"/>
      <c r="BS300" s="202"/>
      <c r="BT300" s="202"/>
      <c r="BW300" s="202"/>
      <c r="BX300" s="205"/>
    </row>
    <row r="301" spans="1:76" s="97" customFormat="1" hidden="1" outlineLevel="1" x14ac:dyDescent="0.25">
      <c r="A301" s="416"/>
      <c r="B301" s="375"/>
      <c r="C301" s="117" t="s">
        <v>71</v>
      </c>
      <c r="D301" s="117" t="s">
        <v>72</v>
      </c>
      <c r="E301" s="163"/>
      <c r="F301" s="163"/>
      <c r="G301" s="403"/>
      <c r="H301" s="405"/>
      <c r="I301" s="161"/>
      <c r="J301" s="161"/>
      <c r="K301" s="418"/>
      <c r="L301" s="369"/>
      <c r="M301" s="406"/>
      <c r="N301" s="120">
        <f t="shared" si="383"/>
        <v>0</v>
      </c>
      <c r="O301" s="120">
        <f t="shared" si="383"/>
        <v>0</v>
      </c>
      <c r="P301" s="120">
        <f t="shared" ref="P301:P302" si="392">Q301/1.12</f>
        <v>0</v>
      </c>
      <c r="Q301" s="120">
        <f>Q300</f>
        <v>0</v>
      </c>
      <c r="R301" s="369"/>
      <c r="S301" s="365"/>
      <c r="T301" s="206"/>
      <c r="U301" s="206"/>
      <c r="V301" s="206"/>
      <c r="W301" s="206"/>
      <c r="X301" s="206"/>
      <c r="Y301" s="206"/>
      <c r="Z301" s="119"/>
      <c r="AA301" s="119"/>
      <c r="AB301" s="119"/>
      <c r="AC301" s="119"/>
      <c r="AD301" s="118">
        <f t="shared" si="384"/>
        <v>0</v>
      </c>
      <c r="AE301" s="119"/>
      <c r="AF301" s="119">
        <f t="shared" si="385"/>
        <v>0</v>
      </c>
      <c r="AG301" s="119">
        <f t="shared" si="385"/>
        <v>0</v>
      </c>
      <c r="AH301" s="119"/>
      <c r="AI301" s="119"/>
      <c r="AJ301" s="119"/>
      <c r="AK301" s="119"/>
      <c r="AL301" s="119"/>
      <c r="AM301" s="118">
        <f t="shared" si="386"/>
        <v>0</v>
      </c>
      <c r="AN301" s="119"/>
      <c r="AO301" s="118">
        <f>AL301-AI301</f>
        <v>0</v>
      </c>
      <c r="AP301" s="118">
        <f>AO301*1.12</f>
        <v>0</v>
      </c>
      <c r="AQ301" s="118"/>
      <c r="AR301" s="121" t="str">
        <f t="shared" si="349"/>
        <v/>
      </c>
      <c r="AS301" s="122"/>
      <c r="AT301" s="122">
        <f>AL301</f>
        <v>0</v>
      </c>
      <c r="AU301" s="122"/>
      <c r="AV301" s="118">
        <f>AL301</f>
        <v>0</v>
      </c>
      <c r="AW301" s="118">
        <f t="shared" ref="AW301:AW302" si="393">AV301*1.12</f>
        <v>0</v>
      </c>
      <c r="AX301" s="118"/>
      <c r="AY301" s="118"/>
      <c r="AZ301" s="118"/>
      <c r="BA301" s="118"/>
      <c r="BB301" s="118"/>
      <c r="BC301" s="118"/>
      <c r="BD301" s="118"/>
      <c r="BE301" s="118"/>
      <c r="BF301" s="118"/>
      <c r="BG301" s="118"/>
      <c r="BH301" s="118"/>
      <c r="BI301" s="118"/>
      <c r="BJ301" s="118"/>
      <c r="BK301" s="118"/>
      <c r="BL301" s="118"/>
      <c r="BM301" s="100"/>
      <c r="BN301" s="100"/>
      <c r="BO301" s="100"/>
      <c r="BP301" s="100"/>
      <c r="BQ301" s="100"/>
      <c r="BR301" s="100"/>
      <c r="BS301" s="100"/>
      <c r="BT301" s="100"/>
      <c r="BU301" s="97">
        <v>11562480</v>
      </c>
      <c r="BW301" s="100"/>
      <c r="BX301" s="101"/>
    </row>
    <row r="302" spans="1:76" ht="15" hidden="1" outlineLevel="1" x14ac:dyDescent="0.25">
      <c r="A302" s="356"/>
      <c r="B302" s="354"/>
      <c r="C302" s="124" t="s">
        <v>71</v>
      </c>
      <c r="D302" s="124" t="s">
        <v>73</v>
      </c>
      <c r="E302" s="167"/>
      <c r="F302" s="167"/>
      <c r="G302" s="414"/>
      <c r="H302" s="415"/>
      <c r="I302" s="166"/>
      <c r="J302" s="166"/>
      <c r="K302" s="418"/>
      <c r="L302" s="369"/>
      <c r="M302" s="406"/>
      <c r="N302" s="127">
        <f t="shared" si="383"/>
        <v>0</v>
      </c>
      <c r="O302" s="127">
        <f t="shared" si="383"/>
        <v>0</v>
      </c>
      <c r="P302" s="127">
        <f t="shared" si="392"/>
        <v>0</v>
      </c>
      <c r="Q302" s="127">
        <f>Q301</f>
        <v>0</v>
      </c>
      <c r="R302" s="369"/>
      <c r="S302" s="365"/>
      <c r="T302" s="37"/>
      <c r="U302" s="37"/>
      <c r="V302" s="37"/>
      <c r="W302" s="37"/>
      <c r="X302" s="37"/>
      <c r="Y302" s="37"/>
      <c r="Z302" s="126"/>
      <c r="AA302" s="126"/>
      <c r="AB302" s="126"/>
      <c r="AC302" s="126">
        <f>AC301</f>
        <v>0</v>
      </c>
      <c r="AD302" s="125">
        <f t="shared" si="384"/>
        <v>0</v>
      </c>
      <c r="AE302" s="126"/>
      <c r="AF302" s="126">
        <f t="shared" si="385"/>
        <v>0</v>
      </c>
      <c r="AG302" s="126">
        <f t="shared" si="385"/>
        <v>0</v>
      </c>
      <c r="AH302" s="126"/>
      <c r="AI302" s="126"/>
      <c r="AJ302" s="126"/>
      <c r="AK302" s="126"/>
      <c r="AL302" s="126">
        <f>AL301</f>
        <v>0</v>
      </c>
      <c r="AM302" s="125">
        <f t="shared" si="386"/>
        <v>0</v>
      </c>
      <c r="AN302" s="126"/>
      <c r="AO302" s="125">
        <f>AO301</f>
        <v>0</v>
      </c>
      <c r="AP302" s="125">
        <f>AP301</f>
        <v>0</v>
      </c>
      <c r="AQ302" s="125"/>
      <c r="AR302" s="128" t="str">
        <f t="shared" si="349"/>
        <v/>
      </c>
      <c r="AS302" s="129"/>
      <c r="AT302" s="129">
        <f>AL302</f>
        <v>0</v>
      </c>
      <c r="AU302" s="129"/>
      <c r="AV302" s="125">
        <f>AL302</f>
        <v>0</v>
      </c>
      <c r="AW302" s="125">
        <f t="shared" si="393"/>
        <v>0</v>
      </c>
      <c r="AX302" s="125"/>
      <c r="AY302" s="125"/>
      <c r="AZ302" s="125"/>
      <c r="BA302" s="125"/>
      <c r="BB302" s="125"/>
      <c r="BC302" s="125"/>
      <c r="BD302" s="125"/>
      <c r="BE302" s="125"/>
      <c r="BF302" s="125"/>
      <c r="BG302" s="125"/>
      <c r="BH302" s="125"/>
      <c r="BI302" s="125"/>
      <c r="BJ302" s="125"/>
      <c r="BK302" s="125"/>
      <c r="BL302" s="125"/>
      <c r="BM302" s="25"/>
      <c r="BN302" s="25"/>
      <c r="BO302" s="25"/>
      <c r="BP302" s="25"/>
      <c r="BQ302" s="25"/>
      <c r="BR302" s="25"/>
      <c r="BS302" s="25"/>
      <c r="BT302" s="25"/>
      <c r="BW302" s="25"/>
      <c r="BX302" s="26"/>
    </row>
    <row r="303" spans="1:76" s="189" customFormat="1" collapsed="1" x14ac:dyDescent="0.25">
      <c r="A303" s="355"/>
      <c r="B303" s="353" t="s">
        <v>158</v>
      </c>
      <c r="C303" s="180"/>
      <c r="D303" s="180"/>
      <c r="E303" s="182">
        <f>E305+E308+E317</f>
        <v>538927</v>
      </c>
      <c r="F303" s="182">
        <f>F305+F308+F317</f>
        <v>603598.24000000011</v>
      </c>
      <c r="G303" s="191"/>
      <c r="H303" s="182">
        <f>H305+H308+H317</f>
        <v>200</v>
      </c>
      <c r="I303" s="182">
        <f>I305+I308+I317</f>
        <v>538927</v>
      </c>
      <c r="J303" s="182">
        <f>J305+J308+J317</f>
        <v>603598.24000000011</v>
      </c>
      <c r="K303" s="407" t="s">
        <v>159</v>
      </c>
      <c r="L303" s="408"/>
      <c r="M303" s="417" t="s">
        <v>96</v>
      </c>
      <c r="N303" s="238">
        <f t="shared" ref="N303:O304" si="394">N305+N308+N317+N311+N314</f>
        <v>406774704.82142848</v>
      </c>
      <c r="O303" s="238">
        <f t="shared" si="394"/>
        <v>455587669.4000001</v>
      </c>
      <c r="P303" s="238">
        <f>P305+P308+P317+P311+P314</f>
        <v>406774704.82142848</v>
      </c>
      <c r="Q303" s="238">
        <f>Q305+Q308+Q317+Q311+Q314</f>
        <v>455587669.4000001</v>
      </c>
      <c r="R303" s="210"/>
      <c r="S303" s="413">
        <f>S305+S308+S317+S311+S314</f>
        <v>200</v>
      </c>
      <c r="T303" s="182">
        <f t="shared" ref="T303:AH303" si="395">T305+T308+T317</f>
        <v>0</v>
      </c>
      <c r="U303" s="182">
        <f t="shared" si="395"/>
        <v>0</v>
      </c>
      <c r="V303" s="182">
        <f t="shared" si="395"/>
        <v>0</v>
      </c>
      <c r="W303" s="182">
        <f t="shared" si="395"/>
        <v>0</v>
      </c>
      <c r="X303" s="182">
        <f t="shared" si="395"/>
        <v>0</v>
      </c>
      <c r="Y303" s="182">
        <f t="shared" si="395"/>
        <v>0</v>
      </c>
      <c r="Z303" s="182">
        <f t="shared" si="395"/>
        <v>0</v>
      </c>
      <c r="AA303" s="182">
        <f t="shared" si="395"/>
        <v>0</v>
      </c>
      <c r="AB303" s="182">
        <f t="shared" si="395"/>
        <v>0</v>
      </c>
      <c r="AC303" s="182">
        <f t="shared" si="395"/>
        <v>0</v>
      </c>
      <c r="AD303" s="182">
        <f t="shared" si="395"/>
        <v>0</v>
      </c>
      <c r="AE303" s="182">
        <f t="shared" si="395"/>
        <v>0</v>
      </c>
      <c r="AF303" s="182">
        <f t="shared" si="395"/>
        <v>0</v>
      </c>
      <c r="AG303" s="182">
        <f t="shared" si="395"/>
        <v>0</v>
      </c>
      <c r="AH303" s="182">
        <f t="shared" si="395"/>
        <v>0</v>
      </c>
      <c r="AI303" s="182">
        <f>AI305+AI308+AI317+AI311+AI314</f>
        <v>538927</v>
      </c>
      <c r="AJ303" s="182">
        <f>AJ305+AJ308+AJ317+AJ311+AJ314</f>
        <v>603598.24000000011</v>
      </c>
      <c r="AK303" s="182">
        <f>AK305+AK308+AK317+AK311+AK314</f>
        <v>200</v>
      </c>
      <c r="AL303" s="182">
        <f t="shared" ref="AL303:AQ304" si="396">AL305+AL308+AL317+AL311+AL314</f>
        <v>466309</v>
      </c>
      <c r="AM303" s="182">
        <f t="shared" si="396"/>
        <v>522266.08</v>
      </c>
      <c r="AN303" s="182">
        <f t="shared" si="396"/>
        <v>200</v>
      </c>
      <c r="AO303" s="182">
        <f t="shared" si="396"/>
        <v>-72618.000000000044</v>
      </c>
      <c r="AP303" s="182">
        <f t="shared" si="396"/>
        <v>-81332.160000000076</v>
      </c>
      <c r="AQ303" s="182">
        <f t="shared" si="396"/>
        <v>0</v>
      </c>
      <c r="AR303" s="185">
        <f t="shared" si="349"/>
        <v>0.8652544778791933</v>
      </c>
      <c r="AS303" s="182">
        <f>AS305+AS308+AS317+AS311+AS314</f>
        <v>0</v>
      </c>
      <c r="AT303" s="182">
        <f t="shared" ref="AT303:BL304" si="397">AT305+AT308+AT317+AT311+AT314</f>
        <v>0</v>
      </c>
      <c r="AU303" s="182">
        <f t="shared" si="397"/>
        <v>0</v>
      </c>
      <c r="AV303" s="182">
        <f t="shared" si="397"/>
        <v>0</v>
      </c>
      <c r="AW303" s="182">
        <f t="shared" si="397"/>
        <v>0</v>
      </c>
      <c r="AX303" s="182">
        <f t="shared" si="397"/>
        <v>0</v>
      </c>
      <c r="AY303" s="182">
        <f t="shared" si="397"/>
        <v>0</v>
      </c>
      <c r="AZ303" s="182">
        <f t="shared" si="397"/>
        <v>-72618.000000000044</v>
      </c>
      <c r="BA303" s="182">
        <f t="shared" si="397"/>
        <v>0</v>
      </c>
      <c r="BB303" s="182">
        <f t="shared" si="397"/>
        <v>0</v>
      </c>
      <c r="BC303" s="182">
        <f t="shared" si="397"/>
        <v>0</v>
      </c>
      <c r="BD303" s="182">
        <f t="shared" si="397"/>
        <v>0</v>
      </c>
      <c r="BE303" s="182">
        <f t="shared" si="397"/>
        <v>0</v>
      </c>
      <c r="BF303" s="182">
        <f t="shared" si="397"/>
        <v>0</v>
      </c>
      <c r="BG303" s="182">
        <f t="shared" si="397"/>
        <v>0</v>
      </c>
      <c r="BH303" s="182">
        <f t="shared" si="397"/>
        <v>0</v>
      </c>
      <c r="BI303" s="182">
        <f t="shared" si="397"/>
        <v>0</v>
      </c>
      <c r="BJ303" s="182">
        <f t="shared" si="397"/>
        <v>0</v>
      </c>
      <c r="BK303" s="182">
        <f t="shared" si="397"/>
        <v>0</v>
      </c>
      <c r="BL303" s="182">
        <f t="shared" si="397"/>
        <v>0</v>
      </c>
      <c r="BM303" s="186" t="s">
        <v>103</v>
      </c>
      <c r="BN303" s="181"/>
      <c r="BO303" s="188" t="e">
        <f>BO305+BO308+#REF!+BO459+BO462+BO465</f>
        <v>#REF!</v>
      </c>
      <c r="BP303" s="188" t="e">
        <f>BP305+BP308+#REF!+BP459+BP462+BP465</f>
        <v>#REF!</v>
      </c>
      <c r="BQ303" s="188" t="e">
        <f>BQ305+BQ308+#REF!+BQ459+BQ462+BQ465</f>
        <v>#REF!</v>
      </c>
      <c r="BR303" s="212"/>
      <c r="BS303" s="212"/>
      <c r="BT303" s="181"/>
      <c r="BW303" s="181"/>
      <c r="BX303" s="190"/>
    </row>
    <row r="304" spans="1:76" s="189" customFormat="1" x14ac:dyDescent="0.25">
      <c r="A304" s="416"/>
      <c r="B304" s="375"/>
      <c r="C304" s="180"/>
      <c r="D304" s="180"/>
      <c r="E304" s="182">
        <f>E306+E309+E318</f>
        <v>538927</v>
      </c>
      <c r="F304" s="182">
        <f>F306+F309+F318</f>
        <v>603598.24000000011</v>
      </c>
      <c r="G304" s="191"/>
      <c r="H304" s="182"/>
      <c r="I304" s="182">
        <f>I306+I309+I318</f>
        <v>474595</v>
      </c>
      <c r="J304" s="182">
        <f>J306+J309+J318</f>
        <v>531546.4</v>
      </c>
      <c r="K304" s="409"/>
      <c r="L304" s="410"/>
      <c r="M304" s="417"/>
      <c r="N304" s="238">
        <f t="shared" si="394"/>
        <v>406774704.82142848</v>
      </c>
      <c r="O304" s="238">
        <f t="shared" si="394"/>
        <v>455587669.4000001</v>
      </c>
      <c r="P304" s="238">
        <f>P306+P309+P318+P312+P315</f>
        <v>406774704.82142848</v>
      </c>
      <c r="Q304" s="238">
        <f>Q306+Q309+Q318+Q312+Q315</f>
        <v>455587669.4000001</v>
      </c>
      <c r="R304" s="210"/>
      <c r="S304" s="413"/>
      <c r="T304" s="182">
        <f>T306+T309+T318</f>
        <v>0</v>
      </c>
      <c r="U304" s="182">
        <f>U306+U309+U318</f>
        <v>0</v>
      </c>
      <c r="V304" s="192"/>
      <c r="W304" s="182">
        <f>W306+W309+W318</f>
        <v>0</v>
      </c>
      <c r="X304" s="182">
        <f>X306+X309+X318</f>
        <v>0</v>
      </c>
      <c r="Y304" s="192"/>
      <c r="Z304" s="182">
        <f>Z306+Z309+Z318</f>
        <v>0</v>
      </c>
      <c r="AA304" s="182">
        <f>AA306+AA309+AA318</f>
        <v>0</v>
      </c>
      <c r="AB304" s="192"/>
      <c r="AC304" s="182">
        <f>AC306+AC309+AC318</f>
        <v>0</v>
      </c>
      <c r="AD304" s="182">
        <f>AD306+AD309+AD318</f>
        <v>0</v>
      </c>
      <c r="AE304" s="192"/>
      <c r="AF304" s="182">
        <f>AF306+AF309+AF318</f>
        <v>0</v>
      </c>
      <c r="AG304" s="182">
        <f>AG306+AG309+AG318</f>
        <v>0</v>
      </c>
      <c r="AH304" s="192"/>
      <c r="AI304" s="182">
        <f>AI306+AI309+AI318+AI312+AI315</f>
        <v>474595</v>
      </c>
      <c r="AJ304" s="182">
        <f>AJ306+AJ309+AJ318+AJ312+AJ315</f>
        <v>531546.4</v>
      </c>
      <c r="AK304" s="192"/>
      <c r="AL304" s="182">
        <f t="shared" si="396"/>
        <v>20686.531446428569</v>
      </c>
      <c r="AM304" s="182">
        <f t="shared" si="396"/>
        <v>23168.915219999999</v>
      </c>
      <c r="AN304" s="192"/>
      <c r="AO304" s="182">
        <f>AO306+AO309+AO318+AO312+AO315</f>
        <v>-453908.46855357144</v>
      </c>
      <c r="AP304" s="182">
        <f t="shared" si="396"/>
        <v>-508377.48478</v>
      </c>
      <c r="AQ304" s="192"/>
      <c r="AR304" s="185">
        <f t="shared" si="349"/>
        <v>4.3587756816714396E-2</v>
      </c>
      <c r="AS304" s="182">
        <f>AS306+AS309+AS318+AS312+AS315</f>
        <v>0</v>
      </c>
      <c r="AT304" s="182">
        <f t="shared" si="397"/>
        <v>20686.531446428569</v>
      </c>
      <c r="AU304" s="182">
        <f t="shared" si="397"/>
        <v>0</v>
      </c>
      <c r="AV304" s="182">
        <f t="shared" si="397"/>
        <v>20686.531446428569</v>
      </c>
      <c r="AW304" s="182">
        <f t="shared" si="397"/>
        <v>23168.915219999999</v>
      </c>
      <c r="AX304" s="182">
        <f t="shared" si="397"/>
        <v>0</v>
      </c>
      <c r="AY304" s="182">
        <f t="shared" si="397"/>
        <v>0</v>
      </c>
      <c r="AZ304" s="182">
        <f t="shared" si="397"/>
        <v>0</v>
      </c>
      <c r="BA304" s="182">
        <f t="shared" si="397"/>
        <v>0</v>
      </c>
      <c r="BB304" s="182">
        <f t="shared" si="397"/>
        <v>0</v>
      </c>
      <c r="BC304" s="182">
        <f t="shared" si="397"/>
        <v>0</v>
      </c>
      <c r="BD304" s="182">
        <f t="shared" si="397"/>
        <v>0</v>
      </c>
      <c r="BE304" s="182">
        <f t="shared" si="397"/>
        <v>0</v>
      </c>
      <c r="BF304" s="182">
        <f t="shared" si="397"/>
        <v>0</v>
      </c>
      <c r="BG304" s="182">
        <f t="shared" si="397"/>
        <v>0</v>
      </c>
      <c r="BH304" s="182">
        <f t="shared" si="397"/>
        <v>0</v>
      </c>
      <c r="BI304" s="182">
        <f t="shared" si="397"/>
        <v>0</v>
      </c>
      <c r="BJ304" s="182">
        <f t="shared" si="397"/>
        <v>0</v>
      </c>
      <c r="BK304" s="182">
        <f t="shared" si="397"/>
        <v>0</v>
      </c>
      <c r="BL304" s="182">
        <f t="shared" si="397"/>
        <v>0</v>
      </c>
      <c r="BM304" s="181"/>
      <c r="BN304" s="181"/>
      <c r="BO304" s="188">
        <f>BO306+BO309+BO457+BO460+BO463+BO466</f>
        <v>0</v>
      </c>
      <c r="BP304" s="188">
        <f>BP306+BP309+BP457+BP460+BP463+BP466</f>
        <v>0</v>
      </c>
      <c r="BQ304" s="188">
        <f>BQ306+BQ309+BQ457+BQ460+BQ463+BQ466</f>
        <v>0</v>
      </c>
      <c r="BR304" s="212"/>
      <c r="BS304" s="212"/>
      <c r="BT304" s="181"/>
      <c r="BW304" s="181"/>
      <c r="BX304" s="190"/>
    </row>
    <row r="305" spans="1:76" s="204" customFormat="1" x14ac:dyDescent="0.25">
      <c r="A305" s="416"/>
      <c r="B305" s="375"/>
      <c r="C305" s="193" t="s">
        <v>69</v>
      </c>
      <c r="D305" s="193" t="s">
        <v>70</v>
      </c>
      <c r="E305" s="194">
        <f>I305</f>
        <v>538927</v>
      </c>
      <c r="F305" s="194">
        <f>E305*1.12</f>
        <v>603598.24000000011</v>
      </c>
      <c r="G305" s="402">
        <v>1919</v>
      </c>
      <c r="H305" s="404">
        <v>200</v>
      </c>
      <c r="I305" s="195">
        <v>538927</v>
      </c>
      <c r="J305" s="195">
        <f>I305*1.12</f>
        <v>603598.24000000011</v>
      </c>
      <c r="K305" s="370" t="s">
        <v>111</v>
      </c>
      <c r="L305" s="369" t="s">
        <v>160</v>
      </c>
      <c r="M305" s="406" t="s">
        <v>96</v>
      </c>
      <c r="N305" s="196">
        <f t="shared" ref="N305:O319" si="398">P305</f>
        <v>223726085.85714284</v>
      </c>
      <c r="O305" s="196">
        <f t="shared" si="398"/>
        <v>250573216.16</v>
      </c>
      <c r="P305" s="196">
        <f>Q305/1.12</f>
        <v>223726085.85714284</v>
      </c>
      <c r="Q305" s="196">
        <f>(11389691.21+91117533.92+11389691.21+68338150.44+34169074.69+34169074.69)</f>
        <v>250573216.16</v>
      </c>
      <c r="R305" s="369" t="s">
        <v>134</v>
      </c>
      <c r="S305" s="365">
        <v>110</v>
      </c>
      <c r="T305" s="214"/>
      <c r="U305" s="214"/>
      <c r="V305" s="214"/>
      <c r="W305" s="214"/>
      <c r="X305" s="214"/>
      <c r="Y305" s="214"/>
      <c r="Z305" s="198"/>
      <c r="AA305" s="198"/>
      <c r="AB305" s="198"/>
      <c r="AC305" s="198"/>
      <c r="AD305" s="199">
        <f t="shared" ref="AD305:AD319" si="399">AC305*1.12</f>
        <v>0</v>
      </c>
      <c r="AE305" s="198"/>
      <c r="AF305" s="198">
        <f t="shared" ref="AF305:AH319" si="400">Z305+AC305</f>
        <v>0</v>
      </c>
      <c r="AG305" s="198">
        <f t="shared" si="400"/>
        <v>0</v>
      </c>
      <c r="AH305" s="198">
        <f t="shared" si="400"/>
        <v>0</v>
      </c>
      <c r="AI305" s="198">
        <f>53893+53893+53893+75619+75619+80839+80839+64332</f>
        <v>538927</v>
      </c>
      <c r="AJ305" s="198">
        <f>AI305*1.12</f>
        <v>603598.24000000011</v>
      </c>
      <c r="AK305" s="198">
        <f>20+20+20+28+28+30+30+24</f>
        <v>200</v>
      </c>
      <c r="AL305" s="198">
        <v>262375</v>
      </c>
      <c r="AM305" s="199">
        <f t="shared" ref="AM305:AM319" si="401">AL305*1.12</f>
        <v>293860</v>
      </c>
      <c r="AN305" s="198">
        <f>20+73+17</f>
        <v>110</v>
      </c>
      <c r="AO305" s="199">
        <f>AQ305*$AI$305/$AK$305+AL305-$AI$305/$AK$305*AN305</f>
        <v>-34034.850000000035</v>
      </c>
      <c r="AP305" s="199">
        <f>AO305*1.12</f>
        <v>-38119.032000000043</v>
      </c>
      <c r="AQ305" s="237">
        <f>AN305-(96+14)</f>
        <v>0</v>
      </c>
      <c r="AR305" s="200">
        <f t="shared" si="349"/>
        <v>0.48684701267518604</v>
      </c>
      <c r="AS305" s="201"/>
      <c r="AT305" s="201"/>
      <c r="AU305" s="201"/>
      <c r="AV305" s="199"/>
      <c r="AW305" s="199">
        <f>AV305*1.12</f>
        <v>0</v>
      </c>
      <c r="AX305" s="199"/>
      <c r="AY305" s="237">
        <f>0*$AI$305/$AK$305</f>
        <v>0</v>
      </c>
      <c r="AZ305" s="199">
        <f>AL305-$AI$305/$AK$305*AN305</f>
        <v>-34034.850000000035</v>
      </c>
      <c r="BA305" s="199"/>
      <c r="BB305" s="199"/>
      <c r="BC305" s="199"/>
      <c r="BD305" s="199"/>
      <c r="BE305" s="199"/>
      <c r="BF305" s="237"/>
      <c r="BG305" s="199"/>
      <c r="BH305" s="199"/>
      <c r="BI305" s="199"/>
      <c r="BJ305" s="199"/>
      <c r="BK305" s="199"/>
      <c r="BL305" s="237">
        <f>0*$AI$305/$AK$305</f>
        <v>0</v>
      </c>
      <c r="BM305" s="202"/>
      <c r="BN305" s="202"/>
      <c r="BO305" s="202"/>
      <c r="BP305" s="202"/>
      <c r="BQ305" s="202"/>
      <c r="BR305" s="202"/>
      <c r="BS305" s="202"/>
      <c r="BT305" s="202"/>
      <c r="BW305" s="202"/>
      <c r="BX305" s="205"/>
    </row>
    <row r="306" spans="1:76" s="97" customFormat="1" x14ac:dyDescent="0.25">
      <c r="A306" s="416"/>
      <c r="B306" s="375"/>
      <c r="C306" s="117" t="s">
        <v>71</v>
      </c>
      <c r="D306" s="117" t="s">
        <v>72</v>
      </c>
      <c r="E306" s="163">
        <f>E305</f>
        <v>538927</v>
      </c>
      <c r="F306" s="163">
        <f>E306*1.12</f>
        <v>603598.24000000011</v>
      </c>
      <c r="G306" s="403"/>
      <c r="H306" s="405"/>
      <c r="I306" s="161">
        <v>474595</v>
      </c>
      <c r="J306" s="161">
        <f>I306*1.12</f>
        <v>531546.4</v>
      </c>
      <c r="K306" s="370"/>
      <c r="L306" s="369"/>
      <c r="M306" s="406"/>
      <c r="N306" s="120">
        <f t="shared" si="398"/>
        <v>223726085.85714284</v>
      </c>
      <c r="O306" s="120">
        <f t="shared" si="398"/>
        <v>250573216.16</v>
      </c>
      <c r="P306" s="120">
        <f t="shared" ref="P306:P307" si="402">Q306/1.12</f>
        <v>223726085.85714284</v>
      </c>
      <c r="Q306" s="120">
        <f>Q305</f>
        <v>250573216.16</v>
      </c>
      <c r="R306" s="369"/>
      <c r="S306" s="365"/>
      <c r="T306" s="206"/>
      <c r="U306" s="206"/>
      <c r="V306" s="206"/>
      <c r="W306" s="206"/>
      <c r="X306" s="206"/>
      <c r="Y306" s="206"/>
      <c r="Z306" s="119"/>
      <c r="AA306" s="119"/>
      <c r="AB306" s="119"/>
      <c r="AC306" s="119"/>
      <c r="AD306" s="118">
        <f t="shared" si="399"/>
        <v>0</v>
      </c>
      <c r="AE306" s="119"/>
      <c r="AF306" s="119">
        <f t="shared" si="400"/>
        <v>0</v>
      </c>
      <c r="AG306" s="119">
        <f t="shared" si="400"/>
        <v>0</v>
      </c>
      <c r="AH306" s="119"/>
      <c r="AI306" s="119">
        <f>53893+53893+53893+75619+75619+80839+80839</f>
        <v>474595</v>
      </c>
      <c r="AJ306" s="119">
        <f>AI306*1.12</f>
        <v>531546.4</v>
      </c>
      <c r="AK306" s="119"/>
      <c r="AL306" s="119">
        <f>23168.91522/1.12</f>
        <v>20686.531446428569</v>
      </c>
      <c r="AM306" s="118">
        <f t="shared" si="401"/>
        <v>23168.915219999999</v>
      </c>
      <c r="AN306" s="119"/>
      <c r="AO306" s="118">
        <f>AQ305*$AI$306/$AK$305+AL306-AI306/AK305*AN305</f>
        <v>-240340.71855357144</v>
      </c>
      <c r="AP306" s="118">
        <f>AO306*1.12</f>
        <v>-269181.60478000005</v>
      </c>
      <c r="AQ306" s="118"/>
      <c r="AR306" s="121">
        <f t="shared" si="349"/>
        <v>4.3587756816714396E-2</v>
      </c>
      <c r="AS306" s="122"/>
      <c r="AT306" s="122">
        <f>AL306</f>
        <v>20686.531446428569</v>
      </c>
      <c r="AU306" s="122"/>
      <c r="AV306" s="118">
        <f>AL306</f>
        <v>20686.531446428569</v>
      </c>
      <c r="AW306" s="118">
        <f t="shared" ref="AW306:AW307" si="403">AV306*1.12</f>
        <v>23168.915219999999</v>
      </c>
      <c r="AX306" s="118"/>
      <c r="AY306" s="118"/>
      <c r="AZ306" s="118"/>
      <c r="BA306" s="118"/>
      <c r="BB306" s="118"/>
      <c r="BC306" s="118"/>
      <c r="BD306" s="118"/>
      <c r="BE306" s="118"/>
      <c r="BF306" s="118"/>
      <c r="BG306" s="118"/>
      <c r="BH306" s="118"/>
      <c r="BI306" s="118"/>
      <c r="BJ306" s="118"/>
      <c r="BK306" s="118"/>
      <c r="BL306" s="118"/>
      <c r="BM306" s="100"/>
      <c r="BN306" s="100"/>
      <c r="BO306" s="100"/>
      <c r="BP306" s="100"/>
      <c r="BQ306" s="100"/>
      <c r="BR306" s="100"/>
      <c r="BS306" s="100"/>
      <c r="BT306" s="100"/>
      <c r="BU306" s="97">
        <v>11562480</v>
      </c>
      <c r="BW306" s="100"/>
      <c r="BX306" s="101"/>
    </row>
    <row r="307" spans="1:76" x14ac:dyDescent="0.25">
      <c r="A307" s="416"/>
      <c r="B307" s="375"/>
      <c r="C307" s="124" t="s">
        <v>71</v>
      </c>
      <c r="D307" s="124" t="s">
        <v>73</v>
      </c>
      <c r="E307" s="167">
        <f>E306</f>
        <v>538927</v>
      </c>
      <c r="F307" s="167">
        <f>F306</f>
        <v>603598.24000000011</v>
      </c>
      <c r="G307" s="403"/>
      <c r="H307" s="405"/>
      <c r="I307" s="166">
        <f>I306</f>
        <v>474595</v>
      </c>
      <c r="J307" s="166">
        <f>J306</f>
        <v>531546.4</v>
      </c>
      <c r="K307" s="370"/>
      <c r="L307" s="369"/>
      <c r="M307" s="406"/>
      <c r="N307" s="127">
        <f t="shared" si="398"/>
        <v>223726085.85714284</v>
      </c>
      <c r="O307" s="127">
        <f t="shared" si="398"/>
        <v>250573216.16</v>
      </c>
      <c r="P307" s="127">
        <f t="shared" si="402"/>
        <v>223726085.85714284</v>
      </c>
      <c r="Q307" s="127">
        <f>Q306</f>
        <v>250573216.16</v>
      </c>
      <c r="R307" s="369"/>
      <c r="S307" s="365"/>
      <c r="T307" s="37"/>
      <c r="U307" s="37"/>
      <c r="V307" s="37"/>
      <c r="W307" s="37"/>
      <c r="X307" s="37"/>
      <c r="Y307" s="37"/>
      <c r="Z307" s="126"/>
      <c r="AA307" s="126"/>
      <c r="AB307" s="126"/>
      <c r="AC307" s="126">
        <f>AC306</f>
        <v>0</v>
      </c>
      <c r="AD307" s="125">
        <f t="shared" si="399"/>
        <v>0</v>
      </c>
      <c r="AE307" s="126"/>
      <c r="AF307" s="126">
        <f t="shared" si="400"/>
        <v>0</v>
      </c>
      <c r="AG307" s="126">
        <f t="shared" si="400"/>
        <v>0</v>
      </c>
      <c r="AH307" s="126"/>
      <c r="AI307" s="126">
        <f>AI306</f>
        <v>474595</v>
      </c>
      <c r="AJ307" s="126">
        <f>AJ306</f>
        <v>531546.4</v>
      </c>
      <c r="AK307" s="126"/>
      <c r="AL307" s="126">
        <f>AL306</f>
        <v>20686.531446428569</v>
      </c>
      <c r="AM307" s="125">
        <f t="shared" si="401"/>
        <v>23168.915219999999</v>
      </c>
      <c r="AN307" s="126"/>
      <c r="AO307" s="125">
        <f>AO306</f>
        <v>-240340.71855357144</v>
      </c>
      <c r="AP307" s="125">
        <f>AP306</f>
        <v>-269181.60478000005</v>
      </c>
      <c r="AQ307" s="125"/>
      <c r="AR307" s="128">
        <f t="shared" si="349"/>
        <v>4.3587756816714396E-2</v>
      </c>
      <c r="AS307" s="129"/>
      <c r="AT307" s="129">
        <f>AL307</f>
        <v>20686.531446428569</v>
      </c>
      <c r="AU307" s="129"/>
      <c r="AV307" s="125">
        <f>AL307</f>
        <v>20686.531446428569</v>
      </c>
      <c r="AW307" s="125">
        <f t="shared" si="403"/>
        <v>23168.915219999999</v>
      </c>
      <c r="AX307" s="125"/>
      <c r="AY307" s="125"/>
      <c r="AZ307" s="125"/>
      <c r="BA307" s="125"/>
      <c r="BB307" s="125"/>
      <c r="BC307" s="125"/>
      <c r="BD307" s="125"/>
      <c r="BE307" s="125"/>
      <c r="BF307" s="125"/>
      <c r="BG307" s="125"/>
      <c r="BH307" s="125"/>
      <c r="BI307" s="125"/>
      <c r="BJ307" s="125"/>
      <c r="BK307" s="125"/>
      <c r="BL307" s="125"/>
      <c r="BM307" s="25"/>
      <c r="BN307" s="25"/>
      <c r="BO307" s="25"/>
      <c r="BP307" s="25"/>
      <c r="BQ307" s="25"/>
      <c r="BR307" s="25"/>
      <c r="BS307" s="25"/>
      <c r="BT307" s="25"/>
      <c r="BW307" s="25"/>
      <c r="BX307" s="26"/>
    </row>
    <row r="308" spans="1:76" s="204" customFormat="1" x14ac:dyDescent="0.25">
      <c r="A308" s="416"/>
      <c r="B308" s="375"/>
      <c r="C308" s="193" t="s">
        <v>69</v>
      </c>
      <c r="D308" s="193" t="s">
        <v>70</v>
      </c>
      <c r="E308" s="194"/>
      <c r="F308" s="194"/>
      <c r="G308" s="403"/>
      <c r="H308" s="405"/>
      <c r="I308" s="195"/>
      <c r="J308" s="195"/>
      <c r="K308" s="370" t="s">
        <v>106</v>
      </c>
      <c r="L308" s="369" t="s">
        <v>133</v>
      </c>
      <c r="M308" s="406" t="s">
        <v>96</v>
      </c>
      <c r="N308" s="196">
        <f t="shared" si="398"/>
        <v>71185574.044642851</v>
      </c>
      <c r="O308" s="196">
        <f t="shared" si="398"/>
        <v>79727842.930000007</v>
      </c>
      <c r="P308" s="196">
        <f>Q308/1.12</f>
        <v>71185574.044642851</v>
      </c>
      <c r="Q308" s="196">
        <f>45558767.39+34169075.54</f>
        <v>79727842.930000007</v>
      </c>
      <c r="R308" s="369" t="s">
        <v>134</v>
      </c>
      <c r="S308" s="365">
        <f>20+15</f>
        <v>35</v>
      </c>
      <c r="T308" s="214"/>
      <c r="U308" s="214"/>
      <c r="V308" s="214"/>
      <c r="W308" s="214"/>
      <c r="X308" s="214"/>
      <c r="Y308" s="214"/>
      <c r="Z308" s="198"/>
      <c r="AA308" s="198"/>
      <c r="AB308" s="198"/>
      <c r="AC308" s="198"/>
      <c r="AD308" s="199">
        <f t="shared" si="399"/>
        <v>0</v>
      </c>
      <c r="AE308" s="198"/>
      <c r="AF308" s="198">
        <f t="shared" si="400"/>
        <v>0</v>
      </c>
      <c r="AG308" s="198">
        <f t="shared" si="400"/>
        <v>0</v>
      </c>
      <c r="AH308" s="198">
        <f t="shared" si="400"/>
        <v>0</v>
      </c>
      <c r="AI308" s="198"/>
      <c r="AJ308" s="198"/>
      <c r="AK308" s="198"/>
      <c r="AL308" s="198">
        <f>28103+28244</f>
        <v>56347</v>
      </c>
      <c r="AM308" s="199">
        <f t="shared" si="401"/>
        <v>63108.640000000007</v>
      </c>
      <c r="AN308" s="198">
        <f>15+5+5+10</f>
        <v>35</v>
      </c>
      <c r="AO308" s="199">
        <f>AQ308*$AI$305/$AK$305+AL308-$AI$305/$AK$305*AN308</f>
        <v>-37965.225000000006</v>
      </c>
      <c r="AP308" s="199">
        <f>AO308*1.12</f>
        <v>-42521.052000000011</v>
      </c>
      <c r="AQ308" s="199">
        <f>AN308-(12+12+11)</f>
        <v>0</v>
      </c>
      <c r="AR308" s="200" t="str">
        <f t="shared" si="349"/>
        <v/>
      </c>
      <c r="AS308" s="201"/>
      <c r="AT308" s="201"/>
      <c r="AU308" s="201"/>
      <c r="AV308" s="199"/>
      <c r="AW308" s="199">
        <f>AV308*1.12</f>
        <v>0</v>
      </c>
      <c r="AX308" s="199"/>
      <c r="AY308" s="199"/>
      <c r="AZ308" s="199">
        <f>AL308-$AI$305/$AK$305*AN308</f>
        <v>-37965.225000000006</v>
      </c>
      <c r="BA308" s="199"/>
      <c r="BB308" s="199"/>
      <c r="BC308" s="199"/>
      <c r="BD308" s="199"/>
      <c r="BE308" s="199"/>
      <c r="BF308" s="237"/>
      <c r="BG308" s="199"/>
      <c r="BH308" s="199"/>
      <c r="BI308" s="199"/>
      <c r="BJ308" s="199"/>
      <c r="BK308" s="199"/>
      <c r="BL308" s="199">
        <f>AQ308*$AI$305/$AK$305</f>
        <v>0</v>
      </c>
      <c r="BM308" s="202"/>
      <c r="BN308" s="202"/>
      <c r="BO308" s="202"/>
      <c r="BP308" s="202"/>
      <c r="BQ308" s="202"/>
      <c r="BR308" s="202"/>
      <c r="BS308" s="202"/>
      <c r="BT308" s="202"/>
      <c r="BW308" s="202"/>
      <c r="BX308" s="205"/>
    </row>
    <row r="309" spans="1:76" s="97" customFormat="1" x14ac:dyDescent="0.25">
      <c r="A309" s="416"/>
      <c r="B309" s="375"/>
      <c r="C309" s="117" t="s">
        <v>71</v>
      </c>
      <c r="D309" s="117" t="s">
        <v>72</v>
      </c>
      <c r="E309" s="163"/>
      <c r="F309" s="163"/>
      <c r="G309" s="403"/>
      <c r="H309" s="405"/>
      <c r="I309" s="161"/>
      <c r="J309" s="161"/>
      <c r="K309" s="370"/>
      <c r="L309" s="369"/>
      <c r="M309" s="406"/>
      <c r="N309" s="120">
        <f t="shared" si="398"/>
        <v>71185574.044642851</v>
      </c>
      <c r="O309" s="120">
        <f t="shared" si="398"/>
        <v>79727842.930000007</v>
      </c>
      <c r="P309" s="120">
        <f t="shared" ref="P309:P310" si="404">Q309/1.12</f>
        <v>71185574.044642851</v>
      </c>
      <c r="Q309" s="120">
        <f>Q308</f>
        <v>79727842.930000007</v>
      </c>
      <c r="R309" s="369"/>
      <c r="S309" s="365"/>
      <c r="T309" s="206"/>
      <c r="U309" s="206"/>
      <c r="V309" s="206"/>
      <c r="W309" s="206"/>
      <c r="X309" s="206"/>
      <c r="Y309" s="206"/>
      <c r="Z309" s="119"/>
      <c r="AA309" s="119"/>
      <c r="AB309" s="119"/>
      <c r="AC309" s="119"/>
      <c r="AD309" s="118">
        <f t="shared" si="399"/>
        <v>0</v>
      </c>
      <c r="AE309" s="119"/>
      <c r="AF309" s="119">
        <f t="shared" si="400"/>
        <v>0</v>
      </c>
      <c r="AG309" s="119">
        <f t="shared" si="400"/>
        <v>0</v>
      </c>
      <c r="AH309" s="119"/>
      <c r="AI309" s="119"/>
      <c r="AJ309" s="119"/>
      <c r="AK309" s="119"/>
      <c r="AL309" s="119"/>
      <c r="AM309" s="118">
        <f t="shared" si="401"/>
        <v>0</v>
      </c>
      <c r="AN309" s="119"/>
      <c r="AO309" s="118">
        <f>AQ308*$AI$306/$AK$305+AL309-AI306/AK305*AN308</f>
        <v>-83054.125</v>
      </c>
      <c r="AP309" s="118">
        <f>AO309*1.12</f>
        <v>-93020.62000000001</v>
      </c>
      <c r="AQ309" s="118"/>
      <c r="AR309" s="121" t="str">
        <f t="shared" si="349"/>
        <v/>
      </c>
      <c r="AS309" s="122"/>
      <c r="AT309" s="122">
        <f>AL309</f>
        <v>0</v>
      </c>
      <c r="AU309" s="122"/>
      <c r="AV309" s="118">
        <f>AL309</f>
        <v>0</v>
      </c>
      <c r="AW309" s="118">
        <f t="shared" ref="AW309:AW310" si="405">AV309*1.12</f>
        <v>0</v>
      </c>
      <c r="AX309" s="118"/>
      <c r="AY309" s="118"/>
      <c r="AZ309" s="118"/>
      <c r="BA309" s="118"/>
      <c r="BB309" s="118"/>
      <c r="BC309" s="118"/>
      <c r="BD309" s="118"/>
      <c r="BE309" s="118"/>
      <c r="BF309" s="118"/>
      <c r="BG309" s="118"/>
      <c r="BH309" s="118"/>
      <c r="BI309" s="118"/>
      <c r="BJ309" s="118"/>
      <c r="BK309" s="118"/>
      <c r="BL309" s="118"/>
      <c r="BM309" s="100"/>
      <c r="BN309" s="100"/>
      <c r="BO309" s="100"/>
      <c r="BP309" s="100"/>
      <c r="BQ309" s="100"/>
      <c r="BR309" s="100"/>
      <c r="BS309" s="100"/>
      <c r="BT309" s="100"/>
      <c r="BU309" s="97">
        <v>11562480</v>
      </c>
      <c r="BW309" s="100"/>
      <c r="BX309" s="101"/>
    </row>
    <row r="310" spans="1:76" x14ac:dyDescent="0.25">
      <c r="A310" s="416"/>
      <c r="B310" s="375"/>
      <c r="C310" s="124" t="s">
        <v>71</v>
      </c>
      <c r="D310" s="124" t="s">
        <v>73</v>
      </c>
      <c r="E310" s="167"/>
      <c r="F310" s="167"/>
      <c r="G310" s="403"/>
      <c r="H310" s="405"/>
      <c r="I310" s="166"/>
      <c r="J310" s="166"/>
      <c r="K310" s="370"/>
      <c r="L310" s="369"/>
      <c r="M310" s="406"/>
      <c r="N310" s="127">
        <f t="shared" si="398"/>
        <v>71185574.044642851</v>
      </c>
      <c r="O310" s="127">
        <f t="shared" si="398"/>
        <v>79727842.930000007</v>
      </c>
      <c r="P310" s="127">
        <f t="shared" si="404"/>
        <v>71185574.044642851</v>
      </c>
      <c r="Q310" s="127">
        <f>Q309</f>
        <v>79727842.930000007</v>
      </c>
      <c r="R310" s="369"/>
      <c r="S310" s="365"/>
      <c r="T310" s="37"/>
      <c r="U310" s="37"/>
      <c r="V310" s="37"/>
      <c r="W310" s="37"/>
      <c r="X310" s="37"/>
      <c r="Y310" s="37"/>
      <c r="Z310" s="126"/>
      <c r="AA310" s="126"/>
      <c r="AB310" s="126"/>
      <c r="AC310" s="126">
        <f>AC309</f>
        <v>0</v>
      </c>
      <c r="AD310" s="125">
        <f t="shared" si="399"/>
        <v>0</v>
      </c>
      <c r="AE310" s="126"/>
      <c r="AF310" s="126">
        <f t="shared" si="400"/>
        <v>0</v>
      </c>
      <c r="AG310" s="126">
        <f t="shared" si="400"/>
        <v>0</v>
      </c>
      <c r="AH310" s="126"/>
      <c r="AI310" s="126"/>
      <c r="AJ310" s="126"/>
      <c r="AK310" s="126"/>
      <c r="AL310" s="126">
        <f>AL309</f>
        <v>0</v>
      </c>
      <c r="AM310" s="125">
        <f t="shared" si="401"/>
        <v>0</v>
      </c>
      <c r="AN310" s="126"/>
      <c r="AO310" s="125">
        <f>AO309</f>
        <v>-83054.125</v>
      </c>
      <c r="AP310" s="125">
        <f>AP309</f>
        <v>-93020.62000000001</v>
      </c>
      <c r="AQ310" s="125"/>
      <c r="AR310" s="128" t="str">
        <f t="shared" si="349"/>
        <v/>
      </c>
      <c r="AS310" s="129"/>
      <c r="AT310" s="129">
        <f>AL310</f>
        <v>0</v>
      </c>
      <c r="AU310" s="129"/>
      <c r="AV310" s="125">
        <f>AL310</f>
        <v>0</v>
      </c>
      <c r="AW310" s="125">
        <f t="shared" si="405"/>
        <v>0</v>
      </c>
      <c r="AX310" s="125"/>
      <c r="AY310" s="125"/>
      <c r="AZ310" s="125"/>
      <c r="BA310" s="125"/>
      <c r="BB310" s="125"/>
      <c r="BC310" s="125"/>
      <c r="BD310" s="125"/>
      <c r="BE310" s="125"/>
      <c r="BF310" s="125"/>
      <c r="BG310" s="125"/>
      <c r="BH310" s="125"/>
      <c r="BI310" s="125"/>
      <c r="BJ310" s="125"/>
      <c r="BK310" s="125"/>
      <c r="BL310" s="125"/>
      <c r="BM310" s="25"/>
      <c r="BN310" s="25"/>
      <c r="BO310" s="25"/>
      <c r="BP310" s="25"/>
      <c r="BQ310" s="25"/>
      <c r="BR310" s="25"/>
      <c r="BS310" s="25"/>
      <c r="BT310" s="25"/>
      <c r="BW310" s="25"/>
      <c r="BX310" s="26"/>
    </row>
    <row r="311" spans="1:76" s="204" customFormat="1" x14ac:dyDescent="0.25">
      <c r="A311" s="416"/>
      <c r="B311" s="375"/>
      <c r="C311" s="193" t="s">
        <v>69</v>
      </c>
      <c r="D311" s="193" t="s">
        <v>70</v>
      </c>
      <c r="E311" s="194"/>
      <c r="F311" s="194"/>
      <c r="G311" s="403"/>
      <c r="H311" s="405"/>
      <c r="I311" s="195"/>
      <c r="J311" s="195"/>
      <c r="K311" s="370" t="s">
        <v>138</v>
      </c>
      <c r="L311" s="369" t="s">
        <v>161</v>
      </c>
      <c r="M311" s="406" t="s">
        <v>96</v>
      </c>
      <c r="N311" s="196">
        <f t="shared" si="398"/>
        <v>30508103.160714284</v>
      </c>
      <c r="O311" s="196">
        <f t="shared" si="398"/>
        <v>34169075.539999999</v>
      </c>
      <c r="P311" s="196">
        <f>Q311/1.12</f>
        <v>30508103.160714284</v>
      </c>
      <c r="Q311" s="196">
        <v>34169075.539999999</v>
      </c>
      <c r="R311" s="369" t="s">
        <v>134</v>
      </c>
      <c r="S311" s="365">
        <v>15</v>
      </c>
      <c r="T311" s="214"/>
      <c r="U311" s="214"/>
      <c r="V311" s="214"/>
      <c r="W311" s="214"/>
      <c r="X311" s="214"/>
      <c r="Y311" s="214"/>
      <c r="Z311" s="198"/>
      <c r="AA311" s="198"/>
      <c r="AB311" s="198"/>
      <c r="AC311" s="198"/>
      <c r="AD311" s="199">
        <f t="shared" si="399"/>
        <v>0</v>
      </c>
      <c r="AE311" s="198"/>
      <c r="AF311" s="198">
        <f t="shared" si="400"/>
        <v>0</v>
      </c>
      <c r="AG311" s="198">
        <f t="shared" si="400"/>
        <v>0</v>
      </c>
      <c r="AH311" s="198">
        <f t="shared" si="400"/>
        <v>0</v>
      </c>
      <c r="AI311" s="198"/>
      <c r="AJ311" s="198"/>
      <c r="AK311" s="198"/>
      <c r="AL311" s="198">
        <v>78929</v>
      </c>
      <c r="AM311" s="199">
        <f t="shared" si="401"/>
        <v>88400.48000000001</v>
      </c>
      <c r="AN311" s="198">
        <f>4+11</f>
        <v>15</v>
      </c>
      <c r="AO311" s="199">
        <f>AQ311*$AI$305/$AK$305+AL311-$AI$305/$AK$305*AN311</f>
        <v>38509.474999999999</v>
      </c>
      <c r="AP311" s="199">
        <f>AO311*1.12</f>
        <v>43130.612000000001</v>
      </c>
      <c r="AQ311" s="199">
        <f>AN311-(5+5+5)</f>
        <v>0</v>
      </c>
      <c r="AR311" s="200" t="str">
        <f t="shared" si="349"/>
        <v/>
      </c>
      <c r="AS311" s="201"/>
      <c r="AT311" s="201"/>
      <c r="AU311" s="201"/>
      <c r="AV311" s="199"/>
      <c r="AW311" s="199">
        <f>AV311*1.12</f>
        <v>0</v>
      </c>
      <c r="AX311" s="199"/>
      <c r="AY311" s="199"/>
      <c r="AZ311" s="199">
        <f>AL311-$AI$305/$AK$305*AN311</f>
        <v>38509.474999999999</v>
      </c>
      <c r="BA311" s="199"/>
      <c r="BB311" s="199"/>
      <c r="BC311" s="199"/>
      <c r="BD311" s="199"/>
      <c r="BE311" s="199"/>
      <c r="BF311" s="237"/>
      <c r="BG311" s="199"/>
      <c r="BH311" s="199"/>
      <c r="BI311" s="199"/>
      <c r="BJ311" s="199"/>
      <c r="BK311" s="199"/>
      <c r="BL311" s="199">
        <f>AQ311*$AI$305/$AK$305</f>
        <v>0</v>
      </c>
      <c r="BM311" s="202"/>
      <c r="BN311" s="202"/>
      <c r="BO311" s="202"/>
      <c r="BP311" s="202"/>
      <c r="BQ311" s="202"/>
      <c r="BR311" s="202"/>
      <c r="BS311" s="202"/>
      <c r="BT311" s="202"/>
      <c r="BW311" s="202"/>
      <c r="BX311" s="205"/>
    </row>
    <row r="312" spans="1:76" s="97" customFormat="1" x14ac:dyDescent="0.25">
      <c r="A312" s="416"/>
      <c r="B312" s="375"/>
      <c r="C312" s="117" t="s">
        <v>71</v>
      </c>
      <c r="D312" s="117" t="s">
        <v>72</v>
      </c>
      <c r="E312" s="163"/>
      <c r="F312" s="163"/>
      <c r="G312" s="403"/>
      <c r="H312" s="405"/>
      <c r="I312" s="161"/>
      <c r="J312" s="161"/>
      <c r="K312" s="370"/>
      <c r="L312" s="369"/>
      <c r="M312" s="406"/>
      <c r="N312" s="120">
        <f t="shared" si="398"/>
        <v>30508103.160714284</v>
      </c>
      <c r="O312" s="120">
        <f t="shared" si="398"/>
        <v>34169075.539999999</v>
      </c>
      <c r="P312" s="120">
        <f t="shared" ref="P312:P313" si="406">Q312/1.12</f>
        <v>30508103.160714284</v>
      </c>
      <c r="Q312" s="120">
        <f>Q311</f>
        <v>34169075.539999999</v>
      </c>
      <c r="R312" s="369"/>
      <c r="S312" s="365"/>
      <c r="T312" s="206"/>
      <c r="U312" s="206"/>
      <c r="V312" s="206"/>
      <c r="W312" s="206"/>
      <c r="X312" s="206"/>
      <c r="Y312" s="206"/>
      <c r="Z312" s="119"/>
      <c r="AA312" s="119"/>
      <c r="AB312" s="119"/>
      <c r="AC312" s="119"/>
      <c r="AD312" s="118">
        <f t="shared" si="399"/>
        <v>0</v>
      </c>
      <c r="AE312" s="119"/>
      <c r="AF312" s="119">
        <f t="shared" si="400"/>
        <v>0</v>
      </c>
      <c r="AG312" s="119">
        <f t="shared" si="400"/>
        <v>0</v>
      </c>
      <c r="AH312" s="119"/>
      <c r="AI312" s="119"/>
      <c r="AJ312" s="119"/>
      <c r="AK312" s="119"/>
      <c r="AL312" s="119"/>
      <c r="AM312" s="118">
        <f t="shared" si="401"/>
        <v>0</v>
      </c>
      <c r="AN312" s="119"/>
      <c r="AO312" s="118">
        <f>AQ311*$AI$306/$AK$305+AL312-AI306/AK305*AN311</f>
        <v>-35594.625</v>
      </c>
      <c r="AP312" s="118">
        <f>AO312*1.12</f>
        <v>-39865.980000000003</v>
      </c>
      <c r="AQ312" s="118"/>
      <c r="AR312" s="121" t="str">
        <f t="shared" si="349"/>
        <v/>
      </c>
      <c r="AS312" s="122"/>
      <c r="AT312" s="122">
        <f>AL312</f>
        <v>0</v>
      </c>
      <c r="AU312" s="122"/>
      <c r="AV312" s="118">
        <f>AL312</f>
        <v>0</v>
      </c>
      <c r="AW312" s="118">
        <f t="shared" ref="AW312:AW313" si="407">AV312*1.12</f>
        <v>0</v>
      </c>
      <c r="AX312" s="118"/>
      <c r="AY312" s="118"/>
      <c r="AZ312" s="118"/>
      <c r="BA312" s="118"/>
      <c r="BB312" s="118"/>
      <c r="BC312" s="118"/>
      <c r="BD312" s="118"/>
      <c r="BE312" s="118"/>
      <c r="BF312" s="118"/>
      <c r="BG312" s="118"/>
      <c r="BH312" s="118"/>
      <c r="BI312" s="118"/>
      <c r="BJ312" s="118"/>
      <c r="BK312" s="118"/>
      <c r="BL312" s="118"/>
      <c r="BM312" s="100"/>
      <c r="BN312" s="100"/>
      <c r="BO312" s="100"/>
      <c r="BP312" s="100"/>
      <c r="BQ312" s="100"/>
      <c r="BR312" s="100"/>
      <c r="BS312" s="100"/>
      <c r="BT312" s="100"/>
      <c r="BU312" s="97">
        <v>11562480</v>
      </c>
      <c r="BW312" s="100"/>
      <c r="BX312" s="101"/>
    </row>
    <row r="313" spans="1:76" x14ac:dyDescent="0.25">
      <c r="A313" s="416"/>
      <c r="B313" s="375"/>
      <c r="C313" s="124" t="s">
        <v>71</v>
      </c>
      <c r="D313" s="124" t="s">
        <v>73</v>
      </c>
      <c r="E313" s="167"/>
      <c r="F313" s="167"/>
      <c r="G313" s="403"/>
      <c r="H313" s="405"/>
      <c r="I313" s="166"/>
      <c r="J313" s="166"/>
      <c r="K313" s="370"/>
      <c r="L313" s="369"/>
      <c r="M313" s="406"/>
      <c r="N313" s="127">
        <f t="shared" si="398"/>
        <v>30508103.160714284</v>
      </c>
      <c r="O313" s="127">
        <f t="shared" si="398"/>
        <v>34169075.539999999</v>
      </c>
      <c r="P313" s="127">
        <f t="shared" si="406"/>
        <v>30508103.160714284</v>
      </c>
      <c r="Q313" s="127">
        <f>Q312</f>
        <v>34169075.539999999</v>
      </c>
      <c r="R313" s="369"/>
      <c r="S313" s="365"/>
      <c r="T313" s="37"/>
      <c r="U313" s="37"/>
      <c r="V313" s="37"/>
      <c r="W313" s="37"/>
      <c r="X313" s="37"/>
      <c r="Y313" s="37"/>
      <c r="Z313" s="126"/>
      <c r="AA313" s="126"/>
      <c r="AB313" s="126"/>
      <c r="AC313" s="126">
        <f>AC312</f>
        <v>0</v>
      </c>
      <c r="AD313" s="125">
        <f t="shared" si="399"/>
        <v>0</v>
      </c>
      <c r="AE313" s="126"/>
      <c r="AF313" s="126">
        <f t="shared" si="400"/>
        <v>0</v>
      </c>
      <c r="AG313" s="126">
        <f t="shared" si="400"/>
        <v>0</v>
      </c>
      <c r="AH313" s="126"/>
      <c r="AI313" s="126"/>
      <c r="AJ313" s="126"/>
      <c r="AK313" s="126"/>
      <c r="AL313" s="126">
        <f>AL312</f>
        <v>0</v>
      </c>
      <c r="AM313" s="125">
        <f t="shared" si="401"/>
        <v>0</v>
      </c>
      <c r="AN313" s="126"/>
      <c r="AO313" s="125">
        <f>AO312</f>
        <v>-35594.625</v>
      </c>
      <c r="AP313" s="125">
        <f>AP312</f>
        <v>-39865.980000000003</v>
      </c>
      <c r="AQ313" s="125"/>
      <c r="AR313" s="128" t="str">
        <f t="shared" si="349"/>
        <v/>
      </c>
      <c r="AS313" s="129"/>
      <c r="AT313" s="129">
        <f>AL313</f>
        <v>0</v>
      </c>
      <c r="AU313" s="129"/>
      <c r="AV313" s="125">
        <f>AL313</f>
        <v>0</v>
      </c>
      <c r="AW313" s="125">
        <f t="shared" si="407"/>
        <v>0</v>
      </c>
      <c r="AX313" s="125"/>
      <c r="AY313" s="125"/>
      <c r="AZ313" s="125"/>
      <c r="BA313" s="125"/>
      <c r="BB313" s="125"/>
      <c r="BC313" s="125"/>
      <c r="BD313" s="125"/>
      <c r="BE313" s="125"/>
      <c r="BF313" s="125"/>
      <c r="BG313" s="125"/>
      <c r="BH313" s="125"/>
      <c r="BI313" s="125"/>
      <c r="BJ313" s="125"/>
      <c r="BK313" s="125"/>
      <c r="BL313" s="125"/>
      <c r="BM313" s="25"/>
      <c r="BN313" s="25"/>
      <c r="BO313" s="25"/>
      <c r="BP313" s="25"/>
      <c r="BQ313" s="25"/>
      <c r="BR313" s="25"/>
      <c r="BS313" s="25"/>
      <c r="BT313" s="25"/>
      <c r="BW313" s="25"/>
      <c r="BX313" s="26"/>
    </row>
    <row r="314" spans="1:76" s="204" customFormat="1" x14ac:dyDescent="0.25">
      <c r="A314" s="416"/>
      <c r="B314" s="375"/>
      <c r="C314" s="193" t="s">
        <v>69</v>
      </c>
      <c r="D314" s="193" t="s">
        <v>70</v>
      </c>
      <c r="E314" s="194"/>
      <c r="F314" s="194"/>
      <c r="G314" s="403"/>
      <c r="H314" s="405"/>
      <c r="I314" s="195"/>
      <c r="J314" s="195"/>
      <c r="K314" s="370" t="s">
        <v>142</v>
      </c>
      <c r="L314" s="369" t="s">
        <v>162</v>
      </c>
      <c r="M314" s="406" t="s">
        <v>96</v>
      </c>
      <c r="N314" s="196">
        <f t="shared" si="398"/>
        <v>30508103.160714284</v>
      </c>
      <c r="O314" s="196">
        <f t="shared" si="398"/>
        <v>34169075.539999999</v>
      </c>
      <c r="P314" s="196">
        <f>Q314/1.12</f>
        <v>30508103.160714284</v>
      </c>
      <c r="Q314" s="196">
        <v>34169075.539999999</v>
      </c>
      <c r="R314" s="369" t="s">
        <v>134</v>
      </c>
      <c r="S314" s="365">
        <v>15</v>
      </c>
      <c r="T314" s="214"/>
      <c r="U314" s="214"/>
      <c r="V314" s="214"/>
      <c r="W314" s="214"/>
      <c r="X314" s="214"/>
      <c r="Y314" s="214"/>
      <c r="Z314" s="198"/>
      <c r="AA314" s="198"/>
      <c r="AB314" s="198"/>
      <c r="AC314" s="198"/>
      <c r="AD314" s="199">
        <f t="shared" si="399"/>
        <v>0</v>
      </c>
      <c r="AE314" s="198"/>
      <c r="AF314" s="198">
        <f t="shared" si="400"/>
        <v>0</v>
      </c>
      <c r="AG314" s="198">
        <f t="shared" si="400"/>
        <v>0</v>
      </c>
      <c r="AH314" s="198">
        <f t="shared" si="400"/>
        <v>0</v>
      </c>
      <c r="AI314" s="198"/>
      <c r="AJ314" s="198"/>
      <c r="AK314" s="198"/>
      <c r="AL314" s="198">
        <v>31287</v>
      </c>
      <c r="AM314" s="199">
        <f t="shared" si="401"/>
        <v>35041.440000000002</v>
      </c>
      <c r="AN314" s="198">
        <f>8+7</f>
        <v>15</v>
      </c>
      <c r="AO314" s="199">
        <f>AQ314*$AI$305/$AK$305+AL314-$AI$305/$AK$305*AN314</f>
        <v>-9132.5250000000015</v>
      </c>
      <c r="AP314" s="199">
        <f>AO314*1.12</f>
        <v>-10228.428000000002</v>
      </c>
      <c r="AQ314" s="199">
        <f>AN314-(5+5+5)</f>
        <v>0</v>
      </c>
      <c r="AR314" s="200" t="str">
        <f t="shared" si="349"/>
        <v/>
      </c>
      <c r="AS314" s="201"/>
      <c r="AT314" s="201"/>
      <c r="AU314" s="201"/>
      <c r="AV314" s="199"/>
      <c r="AW314" s="199">
        <f>AV314*1.12</f>
        <v>0</v>
      </c>
      <c r="AX314" s="199"/>
      <c r="AY314" s="199"/>
      <c r="AZ314" s="199">
        <f>AL314-$AI$305/$AK$305*AN314</f>
        <v>-9132.5250000000015</v>
      </c>
      <c r="BA314" s="199"/>
      <c r="BB314" s="199"/>
      <c r="BC314" s="199"/>
      <c r="BD314" s="199"/>
      <c r="BE314" s="199"/>
      <c r="BF314" s="237"/>
      <c r="BG314" s="199"/>
      <c r="BH314" s="199"/>
      <c r="BI314" s="199"/>
      <c r="BJ314" s="199"/>
      <c r="BK314" s="199"/>
      <c r="BL314" s="199">
        <f>AQ314*$AI$305/$AK$305</f>
        <v>0</v>
      </c>
      <c r="BM314" s="202"/>
      <c r="BN314" s="202"/>
      <c r="BO314" s="202"/>
      <c r="BP314" s="202"/>
      <c r="BQ314" s="202"/>
      <c r="BR314" s="202"/>
      <c r="BS314" s="202"/>
      <c r="BT314" s="202"/>
      <c r="BW314" s="202"/>
      <c r="BX314" s="205"/>
    </row>
    <row r="315" spans="1:76" s="97" customFormat="1" x14ac:dyDescent="0.25">
      <c r="A315" s="416"/>
      <c r="B315" s="375"/>
      <c r="C315" s="117" t="s">
        <v>71</v>
      </c>
      <c r="D315" s="117" t="s">
        <v>72</v>
      </c>
      <c r="E315" s="163"/>
      <c r="F315" s="163"/>
      <c r="G315" s="403"/>
      <c r="H315" s="405"/>
      <c r="I315" s="161"/>
      <c r="J315" s="161"/>
      <c r="K315" s="370"/>
      <c r="L315" s="369"/>
      <c r="M315" s="406"/>
      <c r="N315" s="120">
        <f t="shared" si="398"/>
        <v>30508103.160714284</v>
      </c>
      <c r="O315" s="120">
        <f t="shared" si="398"/>
        <v>34169075.539999999</v>
      </c>
      <c r="P315" s="120">
        <f t="shared" ref="P315:P316" si="408">Q315/1.12</f>
        <v>30508103.160714284</v>
      </c>
      <c r="Q315" s="120">
        <f>Q314</f>
        <v>34169075.539999999</v>
      </c>
      <c r="R315" s="369"/>
      <c r="S315" s="365"/>
      <c r="T315" s="206"/>
      <c r="U315" s="206"/>
      <c r="V315" s="206"/>
      <c r="W315" s="206"/>
      <c r="X315" s="206"/>
      <c r="Y315" s="206"/>
      <c r="Z315" s="119"/>
      <c r="AA315" s="119"/>
      <c r="AB315" s="119"/>
      <c r="AC315" s="119"/>
      <c r="AD315" s="118">
        <f t="shared" si="399"/>
        <v>0</v>
      </c>
      <c r="AE315" s="119"/>
      <c r="AF315" s="119">
        <f t="shared" si="400"/>
        <v>0</v>
      </c>
      <c r="AG315" s="119">
        <f t="shared" si="400"/>
        <v>0</v>
      </c>
      <c r="AH315" s="119"/>
      <c r="AI315" s="119"/>
      <c r="AJ315" s="119"/>
      <c r="AK315" s="119"/>
      <c r="AL315" s="119"/>
      <c r="AM315" s="118">
        <f t="shared" si="401"/>
        <v>0</v>
      </c>
      <c r="AN315" s="119"/>
      <c r="AO315" s="118">
        <f>AQ314*$AI$306/$AK$305+AL315-AI306/AK305*AN314</f>
        <v>-35594.625</v>
      </c>
      <c r="AP315" s="118">
        <f>AO315*1.12</f>
        <v>-39865.980000000003</v>
      </c>
      <c r="AQ315" s="118"/>
      <c r="AR315" s="121" t="str">
        <f t="shared" si="349"/>
        <v/>
      </c>
      <c r="AS315" s="122"/>
      <c r="AT315" s="122">
        <f>AL315</f>
        <v>0</v>
      </c>
      <c r="AU315" s="122"/>
      <c r="AV315" s="118">
        <f>AL315</f>
        <v>0</v>
      </c>
      <c r="AW315" s="118">
        <f t="shared" ref="AW315:AW316" si="409">AV315*1.12</f>
        <v>0</v>
      </c>
      <c r="AX315" s="118"/>
      <c r="AY315" s="118"/>
      <c r="AZ315" s="118"/>
      <c r="BA315" s="118"/>
      <c r="BB315" s="118"/>
      <c r="BC315" s="118"/>
      <c r="BD315" s="118"/>
      <c r="BE315" s="118"/>
      <c r="BF315" s="118"/>
      <c r="BG315" s="118"/>
      <c r="BH315" s="118"/>
      <c r="BI315" s="118"/>
      <c r="BJ315" s="118"/>
      <c r="BK315" s="118"/>
      <c r="BL315" s="118"/>
      <c r="BM315" s="100"/>
      <c r="BN315" s="100"/>
      <c r="BO315" s="100"/>
      <c r="BP315" s="100"/>
      <c r="BQ315" s="100"/>
      <c r="BR315" s="100"/>
      <c r="BS315" s="100"/>
      <c r="BT315" s="100"/>
      <c r="BU315" s="97">
        <v>11562480</v>
      </c>
      <c r="BW315" s="100"/>
      <c r="BX315" s="101"/>
    </row>
    <row r="316" spans="1:76" x14ac:dyDescent="0.25">
      <c r="A316" s="416"/>
      <c r="B316" s="375"/>
      <c r="C316" s="124" t="s">
        <v>71</v>
      </c>
      <c r="D316" s="124" t="s">
        <v>73</v>
      </c>
      <c r="E316" s="167"/>
      <c r="F316" s="167"/>
      <c r="G316" s="403"/>
      <c r="H316" s="405"/>
      <c r="I316" s="166"/>
      <c r="J316" s="166"/>
      <c r="K316" s="370"/>
      <c r="L316" s="369"/>
      <c r="M316" s="406"/>
      <c r="N316" s="127">
        <f t="shared" si="398"/>
        <v>30508103.160714284</v>
      </c>
      <c r="O316" s="127">
        <f t="shared" si="398"/>
        <v>34169075.539999999</v>
      </c>
      <c r="P316" s="127">
        <f t="shared" si="408"/>
        <v>30508103.160714284</v>
      </c>
      <c r="Q316" s="127">
        <f>Q315</f>
        <v>34169075.539999999</v>
      </c>
      <c r="R316" s="369"/>
      <c r="S316" s="365"/>
      <c r="T316" s="37"/>
      <c r="U316" s="37"/>
      <c r="V316" s="37"/>
      <c r="W316" s="37"/>
      <c r="X316" s="37"/>
      <c r="Y316" s="37"/>
      <c r="Z316" s="126"/>
      <c r="AA316" s="126"/>
      <c r="AB316" s="126"/>
      <c r="AC316" s="126">
        <f>AC315</f>
        <v>0</v>
      </c>
      <c r="AD316" s="125">
        <f t="shared" si="399"/>
        <v>0</v>
      </c>
      <c r="AE316" s="126"/>
      <c r="AF316" s="126">
        <f t="shared" si="400"/>
        <v>0</v>
      </c>
      <c r="AG316" s="126">
        <f t="shared" si="400"/>
        <v>0</v>
      </c>
      <c r="AH316" s="126"/>
      <c r="AI316" s="126"/>
      <c r="AJ316" s="126"/>
      <c r="AK316" s="126"/>
      <c r="AL316" s="126">
        <f>AL315</f>
        <v>0</v>
      </c>
      <c r="AM316" s="125">
        <f t="shared" si="401"/>
        <v>0</v>
      </c>
      <c r="AN316" s="126"/>
      <c r="AO316" s="125">
        <f>AO315</f>
        <v>-35594.625</v>
      </c>
      <c r="AP316" s="125">
        <f>AP315</f>
        <v>-39865.980000000003</v>
      </c>
      <c r="AQ316" s="125"/>
      <c r="AR316" s="128" t="str">
        <f t="shared" si="349"/>
        <v/>
      </c>
      <c r="AS316" s="129"/>
      <c r="AT316" s="129">
        <f>AL316</f>
        <v>0</v>
      </c>
      <c r="AU316" s="129"/>
      <c r="AV316" s="125">
        <f>AL316</f>
        <v>0</v>
      </c>
      <c r="AW316" s="125">
        <f t="shared" si="409"/>
        <v>0</v>
      </c>
      <c r="AX316" s="125"/>
      <c r="AY316" s="125"/>
      <c r="AZ316" s="125"/>
      <c r="BA316" s="125"/>
      <c r="BB316" s="125"/>
      <c r="BC316" s="125"/>
      <c r="BD316" s="125"/>
      <c r="BE316" s="125"/>
      <c r="BF316" s="125"/>
      <c r="BG316" s="125"/>
      <c r="BH316" s="125"/>
      <c r="BI316" s="125"/>
      <c r="BJ316" s="125"/>
      <c r="BK316" s="125"/>
      <c r="BL316" s="125"/>
      <c r="BM316" s="25"/>
      <c r="BN316" s="25"/>
      <c r="BO316" s="25"/>
      <c r="BP316" s="25"/>
      <c r="BQ316" s="25"/>
      <c r="BR316" s="25"/>
      <c r="BS316" s="25"/>
      <c r="BT316" s="25"/>
      <c r="BW316" s="25"/>
      <c r="BX316" s="26"/>
    </row>
    <row r="317" spans="1:76" s="204" customFormat="1" x14ac:dyDescent="0.25">
      <c r="A317" s="416"/>
      <c r="B317" s="375"/>
      <c r="C317" s="193" t="s">
        <v>69</v>
      </c>
      <c r="D317" s="193" t="s">
        <v>70</v>
      </c>
      <c r="E317" s="194"/>
      <c r="F317" s="194"/>
      <c r="G317" s="403"/>
      <c r="H317" s="405"/>
      <c r="I317" s="195"/>
      <c r="J317" s="195"/>
      <c r="K317" s="370" t="s">
        <v>163</v>
      </c>
      <c r="L317" s="369" t="s">
        <v>164</v>
      </c>
      <c r="M317" s="406" t="s">
        <v>96</v>
      </c>
      <c r="N317" s="196">
        <f t="shared" si="398"/>
        <v>50846838.598214276</v>
      </c>
      <c r="O317" s="196">
        <f t="shared" si="398"/>
        <v>56948459.229999997</v>
      </c>
      <c r="P317" s="196">
        <f>Q317/1.12</f>
        <v>50846838.598214276</v>
      </c>
      <c r="Q317" s="196">
        <v>56948459.229999997</v>
      </c>
      <c r="R317" s="369" t="s">
        <v>134</v>
      </c>
      <c r="S317" s="365">
        <v>25</v>
      </c>
      <c r="T317" s="214"/>
      <c r="U317" s="214"/>
      <c r="V317" s="214"/>
      <c r="W317" s="214"/>
      <c r="X317" s="214"/>
      <c r="Y317" s="214"/>
      <c r="Z317" s="198"/>
      <c r="AA317" s="198"/>
      <c r="AB317" s="198"/>
      <c r="AC317" s="198"/>
      <c r="AD317" s="199">
        <f t="shared" si="399"/>
        <v>0</v>
      </c>
      <c r="AE317" s="198"/>
      <c r="AF317" s="198">
        <f t="shared" si="400"/>
        <v>0</v>
      </c>
      <c r="AG317" s="198">
        <f t="shared" si="400"/>
        <v>0</v>
      </c>
      <c r="AH317" s="198">
        <f t="shared" si="400"/>
        <v>0</v>
      </c>
      <c r="AI317" s="198"/>
      <c r="AJ317" s="198"/>
      <c r="AK317" s="198"/>
      <c r="AL317" s="198">
        <v>37371</v>
      </c>
      <c r="AM317" s="199">
        <f t="shared" si="401"/>
        <v>41855.520000000004</v>
      </c>
      <c r="AN317" s="198">
        <f>6+19</f>
        <v>25</v>
      </c>
      <c r="AO317" s="199">
        <f>AQ317*$AI$305/$AK$305+AL317-$AI$305/$AK$305*AN317</f>
        <v>-29994.875</v>
      </c>
      <c r="AP317" s="199">
        <f>AO317*1.12</f>
        <v>-33594.26</v>
      </c>
      <c r="AQ317" s="199">
        <f>AN317-(9+9+7)</f>
        <v>0</v>
      </c>
      <c r="AR317" s="200" t="str">
        <f t="shared" si="349"/>
        <v/>
      </c>
      <c r="AS317" s="201"/>
      <c r="AT317" s="201"/>
      <c r="AU317" s="201"/>
      <c r="AV317" s="199"/>
      <c r="AW317" s="199">
        <f>AV317*1.12</f>
        <v>0</v>
      </c>
      <c r="AX317" s="199"/>
      <c r="AY317" s="199"/>
      <c r="AZ317" s="199">
        <f>AL317-$AI$305/$AK$305*AN317</f>
        <v>-29994.875</v>
      </c>
      <c r="BA317" s="199"/>
      <c r="BB317" s="199"/>
      <c r="BC317" s="199"/>
      <c r="BD317" s="199"/>
      <c r="BE317" s="199"/>
      <c r="BF317" s="237"/>
      <c r="BG317" s="199"/>
      <c r="BH317" s="199"/>
      <c r="BI317" s="199"/>
      <c r="BJ317" s="199"/>
      <c r="BK317" s="199"/>
      <c r="BL317" s="199">
        <f>AQ317*$AI$305/$AK$305</f>
        <v>0</v>
      </c>
      <c r="BM317" s="202"/>
      <c r="BN317" s="202"/>
      <c r="BO317" s="202"/>
      <c r="BP317" s="202"/>
      <c r="BQ317" s="202"/>
      <c r="BR317" s="202"/>
      <c r="BS317" s="202"/>
      <c r="BT317" s="202"/>
      <c r="BW317" s="202"/>
      <c r="BX317" s="205"/>
    </row>
    <row r="318" spans="1:76" s="97" customFormat="1" x14ac:dyDescent="0.25">
      <c r="A318" s="416"/>
      <c r="B318" s="375"/>
      <c r="C318" s="117" t="s">
        <v>71</v>
      </c>
      <c r="D318" s="117" t="s">
        <v>72</v>
      </c>
      <c r="E318" s="163"/>
      <c r="F318" s="163"/>
      <c r="G318" s="403"/>
      <c r="H318" s="405"/>
      <c r="I318" s="161"/>
      <c r="J318" s="161"/>
      <c r="K318" s="370"/>
      <c r="L318" s="369"/>
      <c r="M318" s="406"/>
      <c r="N318" s="120">
        <f t="shared" si="398"/>
        <v>50846838.598214276</v>
      </c>
      <c r="O318" s="120">
        <f t="shared" si="398"/>
        <v>56948459.229999997</v>
      </c>
      <c r="P318" s="120">
        <f t="shared" ref="P318:P319" si="410">Q318/1.12</f>
        <v>50846838.598214276</v>
      </c>
      <c r="Q318" s="120">
        <f>Q317</f>
        <v>56948459.229999997</v>
      </c>
      <c r="R318" s="369"/>
      <c r="S318" s="365"/>
      <c r="T318" s="206"/>
      <c r="U318" s="206"/>
      <c r="V318" s="206"/>
      <c r="W318" s="206"/>
      <c r="X318" s="206"/>
      <c r="Y318" s="206"/>
      <c r="Z318" s="119"/>
      <c r="AA318" s="119"/>
      <c r="AB318" s="119"/>
      <c r="AC318" s="119"/>
      <c r="AD318" s="118">
        <f t="shared" si="399"/>
        <v>0</v>
      </c>
      <c r="AE318" s="119"/>
      <c r="AF318" s="119">
        <f t="shared" si="400"/>
        <v>0</v>
      </c>
      <c r="AG318" s="119">
        <f t="shared" si="400"/>
        <v>0</v>
      </c>
      <c r="AH318" s="119"/>
      <c r="AI318" s="119"/>
      <c r="AJ318" s="119"/>
      <c r="AK318" s="119"/>
      <c r="AL318" s="119"/>
      <c r="AM318" s="118">
        <f t="shared" si="401"/>
        <v>0</v>
      </c>
      <c r="AN318" s="119"/>
      <c r="AO318" s="118">
        <f>AQ317*$AI$306/$AK$305+AL318-AI306/AK305*AN317</f>
        <v>-59324.375</v>
      </c>
      <c r="AP318" s="118">
        <f>AO318*1.12</f>
        <v>-66443.3</v>
      </c>
      <c r="AQ318" s="118"/>
      <c r="AR318" s="121" t="str">
        <f t="shared" si="349"/>
        <v/>
      </c>
      <c r="AS318" s="122"/>
      <c r="AT318" s="122">
        <f>AL318</f>
        <v>0</v>
      </c>
      <c r="AU318" s="122"/>
      <c r="AV318" s="118">
        <f>AL318</f>
        <v>0</v>
      </c>
      <c r="AW318" s="118">
        <f t="shared" ref="AW318:AW319" si="411">AV318*1.12</f>
        <v>0</v>
      </c>
      <c r="AX318" s="118"/>
      <c r="AY318" s="118"/>
      <c r="AZ318" s="118"/>
      <c r="BA318" s="118"/>
      <c r="BB318" s="118"/>
      <c r="BC318" s="118"/>
      <c r="BD318" s="118"/>
      <c r="BE318" s="118"/>
      <c r="BF318" s="118"/>
      <c r="BG318" s="118"/>
      <c r="BH318" s="118"/>
      <c r="BI318" s="118"/>
      <c r="BJ318" s="118"/>
      <c r="BK318" s="118"/>
      <c r="BL318" s="118"/>
      <c r="BM318" s="100"/>
      <c r="BN318" s="100"/>
      <c r="BO318" s="100"/>
      <c r="BP318" s="100"/>
      <c r="BQ318" s="100"/>
      <c r="BR318" s="100"/>
      <c r="BS318" s="100"/>
      <c r="BT318" s="100"/>
      <c r="BU318" s="97">
        <v>11562480</v>
      </c>
      <c r="BW318" s="100"/>
      <c r="BX318" s="101"/>
    </row>
    <row r="319" spans="1:76" x14ac:dyDescent="0.25">
      <c r="A319" s="356"/>
      <c r="B319" s="354"/>
      <c r="C319" s="124" t="s">
        <v>71</v>
      </c>
      <c r="D319" s="124" t="s">
        <v>73</v>
      </c>
      <c r="E319" s="167"/>
      <c r="F319" s="167"/>
      <c r="G319" s="414"/>
      <c r="H319" s="415"/>
      <c r="I319" s="166"/>
      <c r="J319" s="166"/>
      <c r="K319" s="370"/>
      <c r="L319" s="369"/>
      <c r="M319" s="406"/>
      <c r="N319" s="127">
        <f t="shared" si="398"/>
        <v>50846838.598214276</v>
      </c>
      <c r="O319" s="127">
        <f t="shared" si="398"/>
        <v>56948459.229999997</v>
      </c>
      <c r="P319" s="127">
        <f t="shared" si="410"/>
        <v>50846838.598214276</v>
      </c>
      <c r="Q319" s="127">
        <f>Q318</f>
        <v>56948459.229999997</v>
      </c>
      <c r="R319" s="369"/>
      <c r="S319" s="365"/>
      <c r="T319" s="37"/>
      <c r="U319" s="37"/>
      <c r="V319" s="37"/>
      <c r="W319" s="37"/>
      <c r="X319" s="37"/>
      <c r="Y319" s="37"/>
      <c r="Z319" s="126"/>
      <c r="AA319" s="126"/>
      <c r="AB319" s="126"/>
      <c r="AC319" s="126">
        <f>AC318</f>
        <v>0</v>
      </c>
      <c r="AD319" s="125">
        <f t="shared" si="399"/>
        <v>0</v>
      </c>
      <c r="AE319" s="126"/>
      <c r="AF319" s="126">
        <f t="shared" si="400"/>
        <v>0</v>
      </c>
      <c r="AG319" s="126">
        <f t="shared" si="400"/>
        <v>0</v>
      </c>
      <c r="AH319" s="126"/>
      <c r="AI319" s="126"/>
      <c r="AJ319" s="126"/>
      <c r="AK319" s="126"/>
      <c r="AL319" s="126">
        <f>AL318</f>
        <v>0</v>
      </c>
      <c r="AM319" s="125">
        <f t="shared" si="401"/>
        <v>0</v>
      </c>
      <c r="AN319" s="126"/>
      <c r="AO319" s="125">
        <f>AO318</f>
        <v>-59324.375</v>
      </c>
      <c r="AP319" s="125">
        <f>AP318</f>
        <v>-66443.3</v>
      </c>
      <c r="AQ319" s="125"/>
      <c r="AR319" s="128" t="str">
        <f t="shared" si="349"/>
        <v/>
      </c>
      <c r="AS319" s="129"/>
      <c r="AT319" s="129">
        <f>AL319</f>
        <v>0</v>
      </c>
      <c r="AU319" s="129"/>
      <c r="AV319" s="125">
        <f>AL319</f>
        <v>0</v>
      </c>
      <c r="AW319" s="125">
        <f t="shared" si="411"/>
        <v>0</v>
      </c>
      <c r="AX319" s="125"/>
      <c r="AY319" s="125"/>
      <c r="AZ319" s="125"/>
      <c r="BA319" s="125"/>
      <c r="BB319" s="125"/>
      <c r="BC319" s="125"/>
      <c r="BD319" s="125"/>
      <c r="BE319" s="125"/>
      <c r="BF319" s="125"/>
      <c r="BG319" s="125"/>
      <c r="BH319" s="125"/>
      <c r="BI319" s="125"/>
      <c r="BJ319" s="125"/>
      <c r="BK319" s="125"/>
      <c r="BL319" s="125"/>
      <c r="BM319" s="25"/>
      <c r="BN319" s="25"/>
      <c r="BO319" s="25"/>
      <c r="BP319" s="25"/>
      <c r="BQ319" s="25"/>
      <c r="BR319" s="25"/>
      <c r="BS319" s="25"/>
      <c r="BT319" s="25"/>
      <c r="BW319" s="25"/>
      <c r="BX319" s="26"/>
    </row>
    <row r="320" spans="1:76" s="189" customFormat="1" x14ac:dyDescent="0.25">
      <c r="A320" s="355"/>
      <c r="B320" s="353" t="s">
        <v>165</v>
      </c>
      <c r="C320" s="180"/>
      <c r="D320" s="180"/>
      <c r="E320" s="182">
        <f>E322+E325+E340</f>
        <v>397096</v>
      </c>
      <c r="F320" s="182">
        <f>F322+F325+F340</f>
        <v>444747.52000000002</v>
      </c>
      <c r="G320" s="191"/>
      <c r="H320" s="182">
        <f>H322+H325+H340</f>
        <v>150</v>
      </c>
      <c r="I320" s="182">
        <f>I322+I325+I340</f>
        <v>397096</v>
      </c>
      <c r="J320" s="182">
        <f>J322+J325+J340</f>
        <v>444747.52000000002</v>
      </c>
      <c r="K320" s="407" t="s">
        <v>123</v>
      </c>
      <c r="L320" s="408"/>
      <c r="M320" s="417" t="s">
        <v>96</v>
      </c>
      <c r="N320" s="238">
        <f t="shared" ref="N320:Q321" si="412">N322+N325+N340+N328+N331+N334+N337</f>
        <v>298337222.89285707</v>
      </c>
      <c r="O320" s="238">
        <f t="shared" si="412"/>
        <v>334137689.63999999</v>
      </c>
      <c r="P320" s="238">
        <f t="shared" si="412"/>
        <v>298337222.89285707</v>
      </c>
      <c r="Q320" s="238">
        <f t="shared" si="412"/>
        <v>334137689.63999999</v>
      </c>
      <c r="R320" s="210"/>
      <c r="S320" s="413">
        <f>S322+S325+S340+S328+S331+S334+S337</f>
        <v>150</v>
      </c>
      <c r="T320" s="182">
        <f t="shared" ref="T320:AH320" si="413">T322+T325+T340</f>
        <v>0</v>
      </c>
      <c r="U320" s="182">
        <f t="shared" si="413"/>
        <v>0</v>
      </c>
      <c r="V320" s="182">
        <f t="shared" si="413"/>
        <v>0</v>
      </c>
      <c r="W320" s="182">
        <f t="shared" si="413"/>
        <v>0</v>
      </c>
      <c r="X320" s="182">
        <f t="shared" si="413"/>
        <v>0</v>
      </c>
      <c r="Y320" s="182">
        <f t="shared" si="413"/>
        <v>0</v>
      </c>
      <c r="Z320" s="182">
        <f t="shared" si="413"/>
        <v>0</v>
      </c>
      <c r="AA320" s="182">
        <f t="shared" si="413"/>
        <v>0</v>
      </c>
      <c r="AB320" s="182">
        <f t="shared" si="413"/>
        <v>0</v>
      </c>
      <c r="AC320" s="182">
        <f t="shared" si="413"/>
        <v>0</v>
      </c>
      <c r="AD320" s="182">
        <f t="shared" si="413"/>
        <v>0</v>
      </c>
      <c r="AE320" s="182">
        <f t="shared" si="413"/>
        <v>0</v>
      </c>
      <c r="AF320" s="182">
        <f t="shared" si="413"/>
        <v>0</v>
      </c>
      <c r="AG320" s="182">
        <f t="shared" si="413"/>
        <v>0</v>
      </c>
      <c r="AH320" s="182">
        <f t="shared" si="413"/>
        <v>0</v>
      </c>
      <c r="AI320" s="182">
        <f t="shared" ref="AI320:AQ320" si="414">AI322+AI325+AI340+AI328+AI331+AI334+AI337</f>
        <v>397096</v>
      </c>
      <c r="AJ320" s="182">
        <f t="shared" si="414"/>
        <v>444747.52000000002</v>
      </c>
      <c r="AK320" s="182">
        <f t="shared" si="414"/>
        <v>150</v>
      </c>
      <c r="AL320" s="182">
        <f t="shared" si="414"/>
        <v>402066</v>
      </c>
      <c r="AM320" s="182">
        <f t="shared" si="414"/>
        <v>450313.92000000004</v>
      </c>
      <c r="AN320" s="182">
        <f t="shared" si="414"/>
        <v>150</v>
      </c>
      <c r="AO320" s="182">
        <f t="shared" si="414"/>
        <v>4969.9999999999673</v>
      </c>
      <c r="AP320" s="182">
        <f t="shared" si="414"/>
        <v>5566.3999999999651</v>
      </c>
      <c r="AQ320" s="182">
        <f t="shared" si="414"/>
        <v>0</v>
      </c>
      <c r="AR320" s="185">
        <f t="shared" si="349"/>
        <v>1.0125158651812156</v>
      </c>
      <c r="AS320" s="182">
        <f>AS322+AS325+AS340+AS328+AS331+AS334+AS337</f>
        <v>0</v>
      </c>
      <c r="AT320" s="182">
        <f t="shared" ref="AT320:BL321" si="415">AT322+AT325+AT340+AT328+AT331+AT334+AT337</f>
        <v>0</v>
      </c>
      <c r="AU320" s="182">
        <f t="shared" si="415"/>
        <v>0</v>
      </c>
      <c r="AV320" s="182">
        <f t="shared" si="415"/>
        <v>0</v>
      </c>
      <c r="AW320" s="182">
        <f t="shared" si="415"/>
        <v>0</v>
      </c>
      <c r="AX320" s="182">
        <f t="shared" si="415"/>
        <v>0</v>
      </c>
      <c r="AY320" s="182">
        <f t="shared" si="415"/>
        <v>0</v>
      </c>
      <c r="AZ320" s="182">
        <f t="shared" si="415"/>
        <v>-57465.800000000017</v>
      </c>
      <c r="BA320" s="182">
        <f t="shared" si="415"/>
        <v>0</v>
      </c>
      <c r="BB320" s="182">
        <f t="shared" si="415"/>
        <v>0</v>
      </c>
      <c r="BC320" s="182">
        <f t="shared" si="415"/>
        <v>0</v>
      </c>
      <c r="BD320" s="182">
        <f t="shared" si="415"/>
        <v>0</v>
      </c>
      <c r="BE320" s="182">
        <f t="shared" si="415"/>
        <v>0</v>
      </c>
      <c r="BF320" s="182">
        <f t="shared" si="415"/>
        <v>0</v>
      </c>
      <c r="BG320" s="182">
        <f t="shared" si="415"/>
        <v>0</v>
      </c>
      <c r="BH320" s="182">
        <f t="shared" si="415"/>
        <v>0</v>
      </c>
      <c r="BI320" s="182">
        <f t="shared" si="415"/>
        <v>0</v>
      </c>
      <c r="BJ320" s="182">
        <f t="shared" si="415"/>
        <v>0</v>
      </c>
      <c r="BK320" s="182">
        <f t="shared" si="415"/>
        <v>0</v>
      </c>
      <c r="BL320" s="182">
        <f t="shared" si="415"/>
        <v>62435.799999999981</v>
      </c>
      <c r="BM320" s="186" t="s">
        <v>103</v>
      </c>
      <c r="BN320" s="181"/>
      <c r="BO320" s="188" t="e">
        <f>BO322+BO325+#REF!+BO470+BO473+BO476</f>
        <v>#REF!</v>
      </c>
      <c r="BP320" s="188" t="e">
        <f>BP322+BP325+#REF!+BP470+BP473+BP476</f>
        <v>#REF!</v>
      </c>
      <c r="BQ320" s="188" t="e">
        <f>BQ322+BQ325+#REF!+BQ470+BQ473+BQ476</f>
        <v>#REF!</v>
      </c>
      <c r="BR320" s="212"/>
      <c r="BS320" s="212"/>
      <c r="BT320" s="181"/>
      <c r="BW320" s="181"/>
      <c r="BX320" s="190"/>
    </row>
    <row r="321" spans="1:76" s="189" customFormat="1" x14ac:dyDescent="0.25">
      <c r="A321" s="416"/>
      <c r="B321" s="375"/>
      <c r="C321" s="180"/>
      <c r="D321" s="180"/>
      <c r="E321" s="182">
        <f>E323+E326+E341</f>
        <v>397096</v>
      </c>
      <c r="F321" s="182">
        <f>F323+F326+F341</f>
        <v>444747.52000000002</v>
      </c>
      <c r="G321" s="191"/>
      <c r="H321" s="182"/>
      <c r="I321" s="182">
        <f>I323+I326+I341</f>
        <v>397096</v>
      </c>
      <c r="J321" s="182">
        <f>J323+J326+J341</f>
        <v>444747.52000000002</v>
      </c>
      <c r="K321" s="409"/>
      <c r="L321" s="410"/>
      <c r="M321" s="417"/>
      <c r="N321" s="238">
        <f t="shared" si="412"/>
        <v>298337222.89285707</v>
      </c>
      <c r="O321" s="238">
        <f t="shared" si="412"/>
        <v>334137689.63999999</v>
      </c>
      <c r="P321" s="238">
        <f t="shared" si="412"/>
        <v>298337222.89285707</v>
      </c>
      <c r="Q321" s="238">
        <f t="shared" si="412"/>
        <v>334137689.63999999</v>
      </c>
      <c r="R321" s="210"/>
      <c r="S321" s="413"/>
      <c r="T321" s="182">
        <f>T323+T326+T341</f>
        <v>0</v>
      </c>
      <c r="U321" s="182">
        <f>U323+U326+U341</f>
        <v>0</v>
      </c>
      <c r="V321" s="192"/>
      <c r="W321" s="182">
        <f>W323+W326+W341</f>
        <v>0</v>
      </c>
      <c r="X321" s="182">
        <f>X323+X326+X341</f>
        <v>0</v>
      </c>
      <c r="Y321" s="192"/>
      <c r="Z321" s="182">
        <f>Z323+Z326+Z341</f>
        <v>0</v>
      </c>
      <c r="AA321" s="182">
        <f>AA323+AA326+AA341</f>
        <v>0</v>
      </c>
      <c r="AB321" s="192"/>
      <c r="AC321" s="182">
        <f>AC323+AC326+AC341</f>
        <v>0</v>
      </c>
      <c r="AD321" s="182">
        <f>AD323+AD326+AD341</f>
        <v>0</v>
      </c>
      <c r="AE321" s="192"/>
      <c r="AF321" s="182">
        <f>AF323+AF326+AF341</f>
        <v>0</v>
      </c>
      <c r="AG321" s="182">
        <f>AG323+AG326+AG341</f>
        <v>0</v>
      </c>
      <c r="AH321" s="192"/>
      <c r="AI321" s="182">
        <f>AI323+AI326+AI341+AI329+AI332+AI335+AI338</f>
        <v>397096</v>
      </c>
      <c r="AJ321" s="182">
        <f>AJ323+AJ326+AJ341+AJ329+AJ332+AJ335+AJ338</f>
        <v>444747.52000000002</v>
      </c>
      <c r="AK321" s="192"/>
      <c r="AL321" s="182">
        <f>AL323+AL326+AL341+AL329+AL332+AL335+AL338</f>
        <v>12139.887562499998</v>
      </c>
      <c r="AM321" s="182">
        <f>AM323+AM326+AM341+AM329+AM332+AM335+AM338</f>
        <v>13596.674069999999</v>
      </c>
      <c r="AN321" s="192"/>
      <c r="AO321" s="182">
        <f>AO323+AO326+AO341+AO329+AO332+AO335+AO338</f>
        <v>-384956.11243750009</v>
      </c>
      <c r="AP321" s="182">
        <f>AP323+AP326+AP341+AP329+AP332+AP335+AP338</f>
        <v>-431150.84593000007</v>
      </c>
      <c r="AQ321" s="192"/>
      <c r="AR321" s="185">
        <f t="shared" si="349"/>
        <v>3.0571669224822205E-2</v>
      </c>
      <c r="AS321" s="182">
        <f>AS323+AS326+AS341+AS329+AS332+AS335+AS338</f>
        <v>0</v>
      </c>
      <c r="AT321" s="182">
        <f t="shared" si="415"/>
        <v>12139.887562499998</v>
      </c>
      <c r="AU321" s="182">
        <f t="shared" si="415"/>
        <v>0</v>
      </c>
      <c r="AV321" s="182">
        <f t="shared" si="415"/>
        <v>12139.887562499998</v>
      </c>
      <c r="AW321" s="182">
        <f t="shared" si="415"/>
        <v>13596.674069999999</v>
      </c>
      <c r="AX321" s="182">
        <f t="shared" si="415"/>
        <v>0</v>
      </c>
      <c r="AY321" s="182">
        <f t="shared" si="415"/>
        <v>0</v>
      </c>
      <c r="AZ321" s="182">
        <f t="shared" si="415"/>
        <v>0</v>
      </c>
      <c r="BA321" s="182">
        <f t="shared" si="415"/>
        <v>0</v>
      </c>
      <c r="BB321" s="182">
        <f t="shared" si="415"/>
        <v>0</v>
      </c>
      <c r="BC321" s="182">
        <f t="shared" si="415"/>
        <v>0</v>
      </c>
      <c r="BD321" s="182">
        <f t="shared" si="415"/>
        <v>0</v>
      </c>
      <c r="BE321" s="182">
        <f t="shared" si="415"/>
        <v>0</v>
      </c>
      <c r="BF321" s="182">
        <f t="shared" si="415"/>
        <v>0</v>
      </c>
      <c r="BG321" s="182">
        <f t="shared" si="415"/>
        <v>0</v>
      </c>
      <c r="BH321" s="182">
        <f t="shared" si="415"/>
        <v>0</v>
      </c>
      <c r="BI321" s="182">
        <f t="shared" si="415"/>
        <v>0</v>
      </c>
      <c r="BJ321" s="182">
        <f t="shared" si="415"/>
        <v>0</v>
      </c>
      <c r="BK321" s="182">
        <f t="shared" si="415"/>
        <v>0</v>
      </c>
      <c r="BL321" s="182">
        <f t="shared" si="415"/>
        <v>0</v>
      </c>
      <c r="BM321" s="181"/>
      <c r="BN321" s="181"/>
      <c r="BO321" s="188">
        <f>BO323+BO326+BO468+BO471+BO474+BO477</f>
        <v>0</v>
      </c>
      <c r="BP321" s="188">
        <f>BP323+BP326+BP468+BP471+BP474+BP477</f>
        <v>0</v>
      </c>
      <c r="BQ321" s="188">
        <f>BQ323+BQ326+BQ468+BQ471+BQ474+BQ477</f>
        <v>0</v>
      </c>
      <c r="BR321" s="212"/>
      <c r="BS321" s="212"/>
      <c r="BT321" s="181"/>
      <c r="BW321" s="181"/>
      <c r="BX321" s="190"/>
    </row>
    <row r="322" spans="1:76" s="204" customFormat="1" x14ac:dyDescent="0.25">
      <c r="A322" s="416"/>
      <c r="B322" s="375"/>
      <c r="C322" s="193" t="s">
        <v>69</v>
      </c>
      <c r="D322" s="193" t="s">
        <v>70</v>
      </c>
      <c r="E322" s="194">
        <f>I322</f>
        <v>397096</v>
      </c>
      <c r="F322" s="194">
        <f>E322*1.12</f>
        <v>444747.52000000002</v>
      </c>
      <c r="G322" s="402">
        <v>1919</v>
      </c>
      <c r="H322" s="404">
        <v>150</v>
      </c>
      <c r="I322" s="195">
        <v>397096</v>
      </c>
      <c r="J322" s="195">
        <f>I322*1.12</f>
        <v>444747.52000000002</v>
      </c>
      <c r="K322" s="370" t="s">
        <v>111</v>
      </c>
      <c r="L322" s="369" t="s">
        <v>160</v>
      </c>
      <c r="M322" s="406" t="s">
        <v>96</v>
      </c>
      <c r="N322" s="196">
        <f t="shared" ref="N322:O342" si="416">P322</f>
        <v>99445740.642857149</v>
      </c>
      <c r="O322" s="196">
        <f t="shared" si="416"/>
        <v>111379229.52000001</v>
      </c>
      <c r="P322" s="196">
        <f>Q322/1.12</f>
        <v>99445740.642857149</v>
      </c>
      <c r="Q322" s="196">
        <f>(33413768.75+44551692.02+33413768.75)</f>
        <v>111379229.52000001</v>
      </c>
      <c r="R322" s="369" t="s">
        <v>134</v>
      </c>
      <c r="S322" s="365">
        <v>50</v>
      </c>
      <c r="T322" s="214"/>
      <c r="U322" s="214"/>
      <c r="V322" s="214"/>
      <c r="W322" s="214"/>
      <c r="X322" s="214"/>
      <c r="Y322" s="214"/>
      <c r="Z322" s="198"/>
      <c r="AA322" s="198"/>
      <c r="AB322" s="198"/>
      <c r="AC322" s="198"/>
      <c r="AD322" s="199">
        <f t="shared" ref="AD322:AD342" si="417">AC322*1.12</f>
        <v>0</v>
      </c>
      <c r="AE322" s="198"/>
      <c r="AF322" s="198">
        <f t="shared" ref="AF322:AH342" si="418">Z322+AC322</f>
        <v>0</v>
      </c>
      <c r="AG322" s="198">
        <f t="shared" si="418"/>
        <v>0</v>
      </c>
      <c r="AH322" s="198">
        <f t="shared" si="418"/>
        <v>0</v>
      </c>
      <c r="AI322" s="198">
        <f>132365+132365+132366</f>
        <v>397096</v>
      </c>
      <c r="AJ322" s="198">
        <f>AI322*1.12</f>
        <v>444747.52000000002</v>
      </c>
      <c r="AK322" s="198">
        <f>50+50+50</f>
        <v>150</v>
      </c>
      <c r="AL322" s="198">
        <v>166062</v>
      </c>
      <c r="AM322" s="199">
        <f t="shared" ref="AM322:AM342" si="419">AL322*1.12</f>
        <v>185989.44000000003</v>
      </c>
      <c r="AN322" s="198">
        <f>11+26+13</f>
        <v>50</v>
      </c>
      <c r="AO322" s="199">
        <f>AQ322*$AI$322/$AK$322+AL322-$AI$322/$AK$322*AN322</f>
        <v>33696.666666666657</v>
      </c>
      <c r="AP322" s="199">
        <f>AO322*1.12</f>
        <v>37740.266666666663</v>
      </c>
      <c r="AQ322" s="237">
        <f>AN322-(43+7)</f>
        <v>0</v>
      </c>
      <c r="AR322" s="200">
        <f t="shared" si="349"/>
        <v>0.41819106714749077</v>
      </c>
      <c r="AS322" s="201"/>
      <c r="AT322" s="201"/>
      <c r="AU322" s="201"/>
      <c r="AV322" s="199"/>
      <c r="AW322" s="199">
        <f>AV322*1.12</f>
        <v>0</v>
      </c>
      <c r="AX322" s="199"/>
      <c r="AY322" s="237">
        <f>0*$AI$322/$AK$322</f>
        <v>0</v>
      </c>
      <c r="AZ322" s="199"/>
      <c r="BA322" s="199"/>
      <c r="BB322" s="199"/>
      <c r="BC322" s="199"/>
      <c r="BD322" s="199"/>
      <c r="BE322" s="199"/>
      <c r="BF322" s="194"/>
      <c r="BG322" s="199"/>
      <c r="BH322" s="199"/>
      <c r="BI322" s="199"/>
      <c r="BJ322" s="199"/>
      <c r="BK322" s="199"/>
      <c r="BL322" s="237">
        <f>AL322-$AI$322/$AK$322*AN322</f>
        <v>33696.666666666657</v>
      </c>
      <c r="BM322" s="202"/>
      <c r="BN322" s="202"/>
      <c r="BO322" s="202"/>
      <c r="BP322" s="202"/>
      <c r="BQ322" s="202"/>
      <c r="BR322" s="202"/>
      <c r="BS322" s="202"/>
      <c r="BT322" s="202"/>
      <c r="BW322" s="202"/>
      <c r="BX322" s="205"/>
    </row>
    <row r="323" spans="1:76" s="97" customFormat="1" x14ac:dyDescent="0.25">
      <c r="A323" s="416"/>
      <c r="B323" s="375"/>
      <c r="C323" s="117" t="s">
        <v>71</v>
      </c>
      <c r="D323" s="117" t="s">
        <v>72</v>
      </c>
      <c r="E323" s="163">
        <f>E322</f>
        <v>397096</v>
      </c>
      <c r="F323" s="163">
        <f>E323*1.12</f>
        <v>444747.52000000002</v>
      </c>
      <c r="G323" s="403"/>
      <c r="H323" s="405"/>
      <c r="I323" s="161">
        <f>I322</f>
        <v>397096</v>
      </c>
      <c r="J323" s="161">
        <f>I323*1.12</f>
        <v>444747.52000000002</v>
      </c>
      <c r="K323" s="370"/>
      <c r="L323" s="369"/>
      <c r="M323" s="406"/>
      <c r="N323" s="120">
        <f t="shared" si="416"/>
        <v>99445740.642857149</v>
      </c>
      <c r="O323" s="120">
        <f t="shared" si="416"/>
        <v>111379229.52000001</v>
      </c>
      <c r="P323" s="120">
        <f t="shared" ref="P323:P324" si="420">Q323/1.12</f>
        <v>99445740.642857149</v>
      </c>
      <c r="Q323" s="120">
        <f>Q322</f>
        <v>111379229.52000001</v>
      </c>
      <c r="R323" s="369"/>
      <c r="S323" s="365"/>
      <c r="T323" s="206"/>
      <c r="U323" s="206"/>
      <c r="V323" s="206"/>
      <c r="W323" s="206"/>
      <c r="X323" s="206"/>
      <c r="Y323" s="206"/>
      <c r="Z323" s="119"/>
      <c r="AA323" s="119"/>
      <c r="AB323" s="119"/>
      <c r="AC323" s="119"/>
      <c r="AD323" s="118">
        <f t="shared" si="417"/>
        <v>0</v>
      </c>
      <c r="AE323" s="119"/>
      <c r="AF323" s="119">
        <f t="shared" si="418"/>
        <v>0</v>
      </c>
      <c r="AG323" s="119">
        <f t="shared" si="418"/>
        <v>0</v>
      </c>
      <c r="AH323" s="119"/>
      <c r="AI323" s="119">
        <f>132365+132365+132366</f>
        <v>397096</v>
      </c>
      <c r="AJ323" s="119">
        <f>AI323*1.12</f>
        <v>444747.52000000002</v>
      </c>
      <c r="AK323" s="119"/>
      <c r="AL323" s="119">
        <f>13596.67407/1.12</f>
        <v>12139.887562499998</v>
      </c>
      <c r="AM323" s="118">
        <f t="shared" si="419"/>
        <v>13596.674069999999</v>
      </c>
      <c r="AN323" s="119"/>
      <c r="AO323" s="118">
        <f>AQ322*$AI$323/$AK$322+AL323-AI323/AK322*AN322</f>
        <v>-120225.44577083335</v>
      </c>
      <c r="AP323" s="118">
        <f>AO323*1.12</f>
        <v>-134652.49926333336</v>
      </c>
      <c r="AQ323" s="118"/>
      <c r="AR323" s="121">
        <f t="shared" si="349"/>
        <v>3.0571669224822205E-2</v>
      </c>
      <c r="AS323" s="122"/>
      <c r="AT323" s="122">
        <f>AL323</f>
        <v>12139.887562499998</v>
      </c>
      <c r="AU323" s="122"/>
      <c r="AV323" s="118">
        <f>AL323</f>
        <v>12139.887562499998</v>
      </c>
      <c r="AW323" s="118">
        <f t="shared" ref="AW323:AW324" si="421">AV323*1.12</f>
        <v>13596.674069999999</v>
      </c>
      <c r="AX323" s="118"/>
      <c r="AY323" s="118"/>
      <c r="AZ323" s="118"/>
      <c r="BA323" s="118"/>
      <c r="BB323" s="118"/>
      <c r="BC323" s="118"/>
      <c r="BD323" s="118"/>
      <c r="BE323" s="118"/>
      <c r="BF323" s="118"/>
      <c r="BG323" s="118"/>
      <c r="BH323" s="118"/>
      <c r="BI323" s="118"/>
      <c r="BJ323" s="118"/>
      <c r="BK323" s="118"/>
      <c r="BL323" s="118"/>
      <c r="BM323" s="100"/>
      <c r="BN323" s="100"/>
      <c r="BO323" s="100"/>
      <c r="BP323" s="100"/>
      <c r="BQ323" s="100"/>
      <c r="BR323" s="100"/>
      <c r="BS323" s="100"/>
      <c r="BT323" s="100"/>
      <c r="BU323" s="97">
        <v>11562480</v>
      </c>
      <c r="BW323" s="100"/>
      <c r="BX323" s="101"/>
    </row>
    <row r="324" spans="1:76" x14ac:dyDescent="0.25">
      <c r="A324" s="416"/>
      <c r="B324" s="375"/>
      <c r="C324" s="124" t="s">
        <v>71</v>
      </c>
      <c r="D324" s="124" t="s">
        <v>73</v>
      </c>
      <c r="E324" s="167">
        <f>E323</f>
        <v>397096</v>
      </c>
      <c r="F324" s="167">
        <f>F323</f>
        <v>444747.52000000002</v>
      </c>
      <c r="G324" s="403"/>
      <c r="H324" s="405"/>
      <c r="I324" s="166">
        <f>I323</f>
        <v>397096</v>
      </c>
      <c r="J324" s="166">
        <f>J323</f>
        <v>444747.52000000002</v>
      </c>
      <c r="K324" s="370"/>
      <c r="L324" s="369"/>
      <c r="M324" s="406"/>
      <c r="N324" s="127">
        <f t="shared" si="416"/>
        <v>99445740.642857149</v>
      </c>
      <c r="O324" s="127">
        <f t="shared" si="416"/>
        <v>111379229.52000001</v>
      </c>
      <c r="P324" s="127">
        <f t="shared" si="420"/>
        <v>99445740.642857149</v>
      </c>
      <c r="Q324" s="127">
        <f>Q323</f>
        <v>111379229.52000001</v>
      </c>
      <c r="R324" s="369"/>
      <c r="S324" s="365"/>
      <c r="T324" s="37"/>
      <c r="U324" s="37"/>
      <c r="V324" s="37"/>
      <c r="W324" s="37"/>
      <c r="X324" s="37"/>
      <c r="Y324" s="37"/>
      <c r="Z324" s="126"/>
      <c r="AA324" s="126"/>
      <c r="AB324" s="126"/>
      <c r="AC324" s="126">
        <f>AC323</f>
        <v>0</v>
      </c>
      <c r="AD324" s="125">
        <f t="shared" si="417"/>
        <v>0</v>
      </c>
      <c r="AE324" s="126"/>
      <c r="AF324" s="126">
        <f t="shared" si="418"/>
        <v>0</v>
      </c>
      <c r="AG324" s="126">
        <f t="shared" si="418"/>
        <v>0</v>
      </c>
      <c r="AH324" s="126"/>
      <c r="AI324" s="126">
        <f>AI323</f>
        <v>397096</v>
      </c>
      <c r="AJ324" s="126">
        <f>AJ323</f>
        <v>444747.52000000002</v>
      </c>
      <c r="AK324" s="126"/>
      <c r="AL324" s="126">
        <f>AL323</f>
        <v>12139.887562499998</v>
      </c>
      <c r="AM324" s="125">
        <f t="shared" si="419"/>
        <v>13596.674069999999</v>
      </c>
      <c r="AN324" s="126"/>
      <c r="AO324" s="125">
        <f>AO323</f>
        <v>-120225.44577083335</v>
      </c>
      <c r="AP324" s="125">
        <f>AP323</f>
        <v>-134652.49926333336</v>
      </c>
      <c r="AQ324" s="125"/>
      <c r="AR324" s="128">
        <f t="shared" si="349"/>
        <v>3.0571669224822205E-2</v>
      </c>
      <c r="AS324" s="129"/>
      <c r="AT324" s="129">
        <f>AL324</f>
        <v>12139.887562499998</v>
      </c>
      <c r="AU324" s="129"/>
      <c r="AV324" s="125">
        <f>AL324</f>
        <v>12139.887562499998</v>
      </c>
      <c r="AW324" s="125">
        <f t="shared" si="421"/>
        <v>13596.674069999999</v>
      </c>
      <c r="AX324" s="125"/>
      <c r="AY324" s="125"/>
      <c r="AZ324" s="125"/>
      <c r="BA324" s="125"/>
      <c r="BB324" s="125"/>
      <c r="BC324" s="125"/>
      <c r="BD324" s="125"/>
      <c r="BE324" s="125"/>
      <c r="BF324" s="125"/>
      <c r="BG324" s="125"/>
      <c r="BH324" s="125"/>
      <c r="BI324" s="125"/>
      <c r="BJ324" s="125"/>
      <c r="BK324" s="125"/>
      <c r="BL324" s="125"/>
      <c r="BM324" s="25"/>
      <c r="BN324" s="25"/>
      <c r="BO324" s="25"/>
      <c r="BP324" s="25"/>
      <c r="BQ324" s="25"/>
      <c r="BR324" s="25"/>
      <c r="BS324" s="25"/>
      <c r="BT324" s="25"/>
      <c r="BW324" s="25"/>
      <c r="BX324" s="26"/>
    </row>
    <row r="325" spans="1:76" s="204" customFormat="1" x14ac:dyDescent="0.25">
      <c r="A325" s="416"/>
      <c r="B325" s="375"/>
      <c r="C325" s="193" t="s">
        <v>69</v>
      </c>
      <c r="D325" s="193" t="s">
        <v>70</v>
      </c>
      <c r="E325" s="194"/>
      <c r="F325" s="194"/>
      <c r="G325" s="403"/>
      <c r="H325" s="405"/>
      <c r="I325" s="195"/>
      <c r="J325" s="195"/>
      <c r="K325" s="370" t="s">
        <v>106</v>
      </c>
      <c r="L325" s="369" t="s">
        <v>133</v>
      </c>
      <c r="M325" s="406" t="s">
        <v>96</v>
      </c>
      <c r="N325" s="196">
        <f t="shared" si="416"/>
        <v>19889148.223214284</v>
      </c>
      <c r="O325" s="196">
        <f t="shared" si="416"/>
        <v>22275846.010000002</v>
      </c>
      <c r="P325" s="196">
        <f>Q325/1.12</f>
        <v>19889148.223214284</v>
      </c>
      <c r="Q325" s="196">
        <v>22275846.010000002</v>
      </c>
      <c r="R325" s="369" t="s">
        <v>134</v>
      </c>
      <c r="S325" s="365">
        <v>10</v>
      </c>
      <c r="T325" s="214"/>
      <c r="U325" s="214"/>
      <c r="V325" s="214"/>
      <c r="W325" s="214"/>
      <c r="X325" s="214"/>
      <c r="Y325" s="214"/>
      <c r="Z325" s="198"/>
      <c r="AA325" s="198"/>
      <c r="AB325" s="198"/>
      <c r="AC325" s="198"/>
      <c r="AD325" s="199">
        <f t="shared" si="417"/>
        <v>0</v>
      </c>
      <c r="AE325" s="198"/>
      <c r="AF325" s="198">
        <f t="shared" si="418"/>
        <v>0</v>
      </c>
      <c r="AG325" s="198">
        <f t="shared" si="418"/>
        <v>0</v>
      </c>
      <c r="AH325" s="198">
        <f t="shared" si="418"/>
        <v>0</v>
      </c>
      <c r="AI325" s="198"/>
      <c r="AJ325" s="198"/>
      <c r="AK325" s="198"/>
      <c r="AL325" s="198">
        <v>7963</v>
      </c>
      <c r="AM325" s="199">
        <f t="shared" si="419"/>
        <v>8918.5600000000013</v>
      </c>
      <c r="AN325" s="198">
        <f>1+9</f>
        <v>10</v>
      </c>
      <c r="AO325" s="199">
        <f>AQ325*$AI$322/$AK$322+AL325-$AI$322/$AK$322*AN325</f>
        <v>-18510.066666666669</v>
      </c>
      <c r="AP325" s="199">
        <f>AO325*1.12</f>
        <v>-20731.274666666672</v>
      </c>
      <c r="AQ325" s="199">
        <f>AN325-(4+4+2)</f>
        <v>0</v>
      </c>
      <c r="AR325" s="200" t="str">
        <f t="shared" si="349"/>
        <v/>
      </c>
      <c r="AS325" s="201"/>
      <c r="AT325" s="201"/>
      <c r="AU325" s="201"/>
      <c r="AV325" s="199"/>
      <c r="AW325" s="199">
        <f>AV325*1.12</f>
        <v>0</v>
      </c>
      <c r="AX325" s="199"/>
      <c r="AY325" s="199"/>
      <c r="AZ325" s="199">
        <f>AL325-$AI$322/$AK$322*AN325</f>
        <v>-18510.066666666669</v>
      </c>
      <c r="BA325" s="199"/>
      <c r="BB325" s="199"/>
      <c r="BC325" s="199"/>
      <c r="BD325" s="199"/>
      <c r="BE325" s="199"/>
      <c r="BF325" s="237"/>
      <c r="BG325" s="199"/>
      <c r="BH325" s="199"/>
      <c r="BI325" s="199"/>
      <c r="BJ325" s="199"/>
      <c r="BK325" s="199"/>
      <c r="BL325" s="199">
        <f>AQ325*$AI$322/$AK$322</f>
        <v>0</v>
      </c>
      <c r="BM325" s="202"/>
      <c r="BN325" s="202"/>
      <c r="BO325" s="202"/>
      <c r="BP325" s="202"/>
      <c r="BQ325" s="202"/>
      <c r="BR325" s="202"/>
      <c r="BS325" s="202"/>
      <c r="BT325" s="202"/>
      <c r="BW325" s="202"/>
      <c r="BX325" s="205"/>
    </row>
    <row r="326" spans="1:76" s="97" customFormat="1" x14ac:dyDescent="0.25">
      <c r="A326" s="416"/>
      <c r="B326" s="375"/>
      <c r="C326" s="117" t="s">
        <v>71</v>
      </c>
      <c r="D326" s="117" t="s">
        <v>72</v>
      </c>
      <c r="E326" s="163"/>
      <c r="F326" s="163"/>
      <c r="G326" s="403"/>
      <c r="H326" s="405"/>
      <c r="I326" s="161"/>
      <c r="J326" s="161"/>
      <c r="K326" s="370"/>
      <c r="L326" s="369"/>
      <c r="M326" s="406"/>
      <c r="N326" s="120">
        <f t="shared" si="416"/>
        <v>19889148.223214284</v>
      </c>
      <c r="O326" s="120">
        <f t="shared" si="416"/>
        <v>22275846.010000002</v>
      </c>
      <c r="P326" s="120">
        <f t="shared" ref="P326:P327" si="422">Q326/1.12</f>
        <v>19889148.223214284</v>
      </c>
      <c r="Q326" s="120">
        <f>Q325</f>
        <v>22275846.010000002</v>
      </c>
      <c r="R326" s="369"/>
      <c r="S326" s="365"/>
      <c r="T326" s="206"/>
      <c r="U326" s="206"/>
      <c r="V326" s="206"/>
      <c r="W326" s="206"/>
      <c r="X326" s="206"/>
      <c r="Y326" s="206"/>
      <c r="Z326" s="119"/>
      <c r="AA326" s="119"/>
      <c r="AB326" s="119"/>
      <c r="AC326" s="119"/>
      <c r="AD326" s="118">
        <f t="shared" si="417"/>
        <v>0</v>
      </c>
      <c r="AE326" s="119"/>
      <c r="AF326" s="119">
        <f t="shared" si="418"/>
        <v>0</v>
      </c>
      <c r="AG326" s="119">
        <f t="shared" si="418"/>
        <v>0</v>
      </c>
      <c r="AH326" s="119"/>
      <c r="AI326" s="119"/>
      <c r="AJ326" s="119"/>
      <c r="AK326" s="119"/>
      <c r="AL326" s="119"/>
      <c r="AM326" s="118">
        <f t="shared" si="419"/>
        <v>0</v>
      </c>
      <c r="AN326" s="119"/>
      <c r="AO326" s="118">
        <f>AQ325*$AI$323/$AK$322+AL326-AI323/AK322*AN325</f>
        <v>-26473.066666666669</v>
      </c>
      <c r="AP326" s="118">
        <f>AO326*1.12</f>
        <v>-29649.834666666673</v>
      </c>
      <c r="AQ326" s="118"/>
      <c r="AR326" s="121" t="str">
        <f t="shared" si="349"/>
        <v/>
      </c>
      <c r="AS326" s="122"/>
      <c r="AT326" s="122">
        <f>AL326</f>
        <v>0</v>
      </c>
      <c r="AU326" s="122"/>
      <c r="AV326" s="118">
        <f>AL326</f>
        <v>0</v>
      </c>
      <c r="AW326" s="118">
        <f t="shared" ref="AW326:AW327" si="423">AV326*1.12</f>
        <v>0</v>
      </c>
      <c r="AX326" s="118"/>
      <c r="AY326" s="118"/>
      <c r="AZ326" s="118"/>
      <c r="BA326" s="118"/>
      <c r="BB326" s="118"/>
      <c r="BC326" s="118"/>
      <c r="BD326" s="118"/>
      <c r="BE326" s="118"/>
      <c r="BF326" s="118"/>
      <c r="BG326" s="118"/>
      <c r="BH326" s="118"/>
      <c r="BI326" s="118"/>
      <c r="BJ326" s="118"/>
      <c r="BK326" s="118"/>
      <c r="BL326" s="118"/>
      <c r="BM326" s="100"/>
      <c r="BN326" s="100"/>
      <c r="BO326" s="100"/>
      <c r="BP326" s="100"/>
      <c r="BQ326" s="100"/>
      <c r="BR326" s="100"/>
      <c r="BS326" s="100"/>
      <c r="BT326" s="100"/>
      <c r="BU326" s="97">
        <v>11562480</v>
      </c>
      <c r="BW326" s="100"/>
      <c r="BX326" s="101"/>
    </row>
    <row r="327" spans="1:76" x14ac:dyDescent="0.25">
      <c r="A327" s="416"/>
      <c r="B327" s="375"/>
      <c r="C327" s="124" t="s">
        <v>71</v>
      </c>
      <c r="D327" s="124" t="s">
        <v>73</v>
      </c>
      <c r="E327" s="167"/>
      <c r="F327" s="167"/>
      <c r="G327" s="403"/>
      <c r="H327" s="405"/>
      <c r="I327" s="166"/>
      <c r="J327" s="166"/>
      <c r="K327" s="370"/>
      <c r="L327" s="369"/>
      <c r="M327" s="406"/>
      <c r="N327" s="127">
        <f t="shared" si="416"/>
        <v>19889148.223214284</v>
      </c>
      <c r="O327" s="127">
        <f t="shared" si="416"/>
        <v>22275846.010000002</v>
      </c>
      <c r="P327" s="127">
        <f t="shared" si="422"/>
        <v>19889148.223214284</v>
      </c>
      <c r="Q327" s="127">
        <f>Q326</f>
        <v>22275846.010000002</v>
      </c>
      <c r="R327" s="369"/>
      <c r="S327" s="365"/>
      <c r="T327" s="37"/>
      <c r="U327" s="37"/>
      <c r="V327" s="37"/>
      <c r="W327" s="37"/>
      <c r="X327" s="37"/>
      <c r="Y327" s="37"/>
      <c r="Z327" s="126"/>
      <c r="AA327" s="126"/>
      <c r="AB327" s="126"/>
      <c r="AC327" s="126">
        <f>AC326</f>
        <v>0</v>
      </c>
      <c r="AD327" s="125">
        <f t="shared" si="417"/>
        <v>0</v>
      </c>
      <c r="AE327" s="126"/>
      <c r="AF327" s="126">
        <f t="shared" si="418"/>
        <v>0</v>
      </c>
      <c r="AG327" s="126">
        <f t="shared" si="418"/>
        <v>0</v>
      </c>
      <c r="AH327" s="126"/>
      <c r="AI327" s="126"/>
      <c r="AJ327" s="126"/>
      <c r="AK327" s="126"/>
      <c r="AL327" s="126">
        <f>AL326</f>
        <v>0</v>
      </c>
      <c r="AM327" s="125">
        <f t="shared" si="419"/>
        <v>0</v>
      </c>
      <c r="AN327" s="126"/>
      <c r="AO327" s="125">
        <f>AO326</f>
        <v>-26473.066666666669</v>
      </c>
      <c r="AP327" s="125">
        <f>AP326</f>
        <v>-29649.834666666673</v>
      </c>
      <c r="AQ327" s="125"/>
      <c r="AR327" s="128" t="str">
        <f t="shared" si="349"/>
        <v/>
      </c>
      <c r="AS327" s="129"/>
      <c r="AT327" s="129">
        <f>AL327</f>
        <v>0</v>
      </c>
      <c r="AU327" s="129"/>
      <c r="AV327" s="125">
        <f>AL327</f>
        <v>0</v>
      </c>
      <c r="AW327" s="125">
        <f t="shared" si="423"/>
        <v>0</v>
      </c>
      <c r="AX327" s="125"/>
      <c r="AY327" s="125"/>
      <c r="AZ327" s="125"/>
      <c r="BA327" s="125"/>
      <c r="BB327" s="125"/>
      <c r="BC327" s="125"/>
      <c r="BD327" s="125"/>
      <c r="BE327" s="125"/>
      <c r="BF327" s="125"/>
      <c r="BG327" s="125"/>
      <c r="BH327" s="125"/>
      <c r="BI327" s="125"/>
      <c r="BJ327" s="125"/>
      <c r="BK327" s="125"/>
      <c r="BL327" s="125"/>
      <c r="BM327" s="25"/>
      <c r="BN327" s="25"/>
      <c r="BO327" s="25"/>
      <c r="BP327" s="25"/>
      <c r="BQ327" s="25"/>
      <c r="BR327" s="25"/>
      <c r="BS327" s="25"/>
      <c r="BT327" s="25"/>
      <c r="BW327" s="25"/>
      <c r="BX327" s="26"/>
    </row>
    <row r="328" spans="1:76" s="204" customFormat="1" x14ac:dyDescent="0.25">
      <c r="A328" s="416"/>
      <c r="B328" s="375"/>
      <c r="C328" s="193" t="s">
        <v>69</v>
      </c>
      <c r="D328" s="193" t="s">
        <v>70</v>
      </c>
      <c r="E328" s="194"/>
      <c r="F328" s="194"/>
      <c r="G328" s="403"/>
      <c r="H328" s="405"/>
      <c r="I328" s="195"/>
      <c r="J328" s="195"/>
      <c r="K328" s="370" t="s">
        <v>138</v>
      </c>
      <c r="L328" s="369" t="s">
        <v>161</v>
      </c>
      <c r="M328" s="406" t="s">
        <v>96</v>
      </c>
      <c r="N328" s="196">
        <f t="shared" si="416"/>
        <v>9944574.1071428563</v>
      </c>
      <c r="O328" s="196">
        <f t="shared" si="416"/>
        <v>11137923</v>
      </c>
      <c r="P328" s="196">
        <f>Q328/1.12</f>
        <v>9944574.1071428563</v>
      </c>
      <c r="Q328" s="196">
        <v>11137923</v>
      </c>
      <c r="R328" s="369" t="s">
        <v>134</v>
      </c>
      <c r="S328" s="365">
        <v>5</v>
      </c>
      <c r="T328" s="214"/>
      <c r="U328" s="214"/>
      <c r="V328" s="214"/>
      <c r="W328" s="214"/>
      <c r="X328" s="214"/>
      <c r="Y328" s="214"/>
      <c r="Z328" s="198"/>
      <c r="AA328" s="198"/>
      <c r="AB328" s="198"/>
      <c r="AC328" s="198"/>
      <c r="AD328" s="199">
        <f t="shared" si="417"/>
        <v>0</v>
      </c>
      <c r="AE328" s="198"/>
      <c r="AF328" s="198">
        <f t="shared" si="418"/>
        <v>0</v>
      </c>
      <c r="AG328" s="198">
        <f t="shared" si="418"/>
        <v>0</v>
      </c>
      <c r="AH328" s="198">
        <f t="shared" si="418"/>
        <v>0</v>
      </c>
      <c r="AI328" s="198"/>
      <c r="AJ328" s="198"/>
      <c r="AK328" s="198"/>
      <c r="AL328" s="198">
        <f>15807+9113</f>
        <v>24920</v>
      </c>
      <c r="AM328" s="199">
        <f t="shared" si="419"/>
        <v>27910.400000000001</v>
      </c>
      <c r="AN328" s="198">
        <f>5</f>
        <v>5</v>
      </c>
      <c r="AO328" s="199">
        <f>AQ328*$AI$322/$AK$322+AL328-$AI$322/$AK$322*AN328</f>
        <v>11683.466666666665</v>
      </c>
      <c r="AP328" s="199">
        <f>AO328*1.12</f>
        <v>13085.482666666667</v>
      </c>
      <c r="AQ328" s="199">
        <f>AN328-(2+3)</f>
        <v>0</v>
      </c>
      <c r="AR328" s="200" t="str">
        <f t="shared" si="349"/>
        <v/>
      </c>
      <c r="AS328" s="201"/>
      <c r="AT328" s="201"/>
      <c r="AU328" s="201"/>
      <c r="AV328" s="199"/>
      <c r="AW328" s="199">
        <f>AV328*1.12</f>
        <v>0</v>
      </c>
      <c r="AX328" s="199"/>
      <c r="AY328" s="199"/>
      <c r="AZ328" s="199"/>
      <c r="BA328" s="199"/>
      <c r="BB328" s="199"/>
      <c r="BC328" s="199"/>
      <c r="BD328" s="199"/>
      <c r="BE328" s="199"/>
      <c r="BF328" s="194"/>
      <c r="BG328" s="199"/>
      <c r="BH328" s="199"/>
      <c r="BI328" s="199"/>
      <c r="BJ328" s="199"/>
      <c r="BK328" s="199"/>
      <c r="BL328" s="199">
        <f>AL328-$AI$322/$AK$322*AN328</f>
        <v>11683.466666666665</v>
      </c>
      <c r="BM328" s="202"/>
      <c r="BN328" s="202"/>
      <c r="BO328" s="202"/>
      <c r="BP328" s="202"/>
      <c r="BQ328" s="202"/>
      <c r="BR328" s="202"/>
      <c r="BS328" s="202"/>
      <c r="BT328" s="202"/>
      <c r="BW328" s="202"/>
      <c r="BX328" s="205"/>
    </row>
    <row r="329" spans="1:76" s="97" customFormat="1" x14ac:dyDescent="0.25">
      <c r="A329" s="416"/>
      <c r="B329" s="375"/>
      <c r="C329" s="117" t="s">
        <v>71</v>
      </c>
      <c r="D329" s="117" t="s">
        <v>72</v>
      </c>
      <c r="E329" s="163"/>
      <c r="F329" s="163"/>
      <c r="G329" s="403"/>
      <c r="H329" s="405"/>
      <c r="I329" s="161"/>
      <c r="J329" s="161"/>
      <c r="K329" s="370"/>
      <c r="L329" s="369"/>
      <c r="M329" s="406"/>
      <c r="N329" s="120">
        <f t="shared" si="416"/>
        <v>9944574.1071428563</v>
      </c>
      <c r="O329" s="120">
        <f t="shared" si="416"/>
        <v>11137923</v>
      </c>
      <c r="P329" s="120">
        <f t="shared" ref="P329:P330" si="424">Q329/1.12</f>
        <v>9944574.1071428563</v>
      </c>
      <c r="Q329" s="120">
        <f>Q328</f>
        <v>11137923</v>
      </c>
      <c r="R329" s="369"/>
      <c r="S329" s="365"/>
      <c r="T329" s="206"/>
      <c r="U329" s="206"/>
      <c r="V329" s="206"/>
      <c r="W329" s="206"/>
      <c r="X329" s="206"/>
      <c r="Y329" s="206"/>
      <c r="Z329" s="119"/>
      <c r="AA329" s="119"/>
      <c r="AB329" s="119"/>
      <c r="AC329" s="119"/>
      <c r="AD329" s="118">
        <f t="shared" si="417"/>
        <v>0</v>
      </c>
      <c r="AE329" s="119"/>
      <c r="AF329" s="119">
        <f t="shared" si="418"/>
        <v>0</v>
      </c>
      <c r="AG329" s="119">
        <f t="shared" si="418"/>
        <v>0</v>
      </c>
      <c r="AH329" s="119"/>
      <c r="AI329" s="119"/>
      <c r="AJ329" s="119"/>
      <c r="AK329" s="119"/>
      <c r="AL329" s="119"/>
      <c r="AM329" s="118">
        <f t="shared" si="419"/>
        <v>0</v>
      </c>
      <c r="AN329" s="119"/>
      <c r="AO329" s="118">
        <f>AQ328*$AI$323/$AK$322+AL329-AI323/AK322*AN328</f>
        <v>-13236.533333333335</v>
      </c>
      <c r="AP329" s="118">
        <f>AO329*1.12</f>
        <v>-14824.917333333337</v>
      </c>
      <c r="AQ329" s="118"/>
      <c r="AR329" s="121" t="str">
        <f t="shared" si="349"/>
        <v/>
      </c>
      <c r="AS329" s="122"/>
      <c r="AT329" s="122">
        <f>AL329</f>
        <v>0</v>
      </c>
      <c r="AU329" s="122"/>
      <c r="AV329" s="118">
        <f>AL329</f>
        <v>0</v>
      </c>
      <c r="AW329" s="118">
        <f t="shared" ref="AW329:AW330" si="425">AV329*1.12</f>
        <v>0</v>
      </c>
      <c r="AX329" s="118"/>
      <c r="AY329" s="118"/>
      <c r="AZ329" s="118"/>
      <c r="BA329" s="118"/>
      <c r="BB329" s="118"/>
      <c r="BC329" s="118"/>
      <c r="BD329" s="118"/>
      <c r="BE329" s="118"/>
      <c r="BF329" s="118"/>
      <c r="BG329" s="118"/>
      <c r="BH329" s="118"/>
      <c r="BI329" s="118"/>
      <c r="BJ329" s="118"/>
      <c r="BK329" s="118"/>
      <c r="BL329" s="118"/>
      <c r="BM329" s="100"/>
      <c r="BN329" s="100"/>
      <c r="BO329" s="100"/>
      <c r="BP329" s="100"/>
      <c r="BQ329" s="100"/>
      <c r="BR329" s="100"/>
      <c r="BS329" s="100"/>
      <c r="BT329" s="100"/>
      <c r="BU329" s="97">
        <v>11562480</v>
      </c>
      <c r="BW329" s="100"/>
      <c r="BX329" s="101"/>
    </row>
    <row r="330" spans="1:76" x14ac:dyDescent="0.25">
      <c r="A330" s="416"/>
      <c r="B330" s="375"/>
      <c r="C330" s="124" t="s">
        <v>71</v>
      </c>
      <c r="D330" s="124" t="s">
        <v>73</v>
      </c>
      <c r="E330" s="167"/>
      <c r="F330" s="167"/>
      <c r="G330" s="403"/>
      <c r="H330" s="405"/>
      <c r="I330" s="166"/>
      <c r="J330" s="166"/>
      <c r="K330" s="370"/>
      <c r="L330" s="369"/>
      <c r="M330" s="406"/>
      <c r="N330" s="127">
        <f t="shared" si="416"/>
        <v>9944574.1071428563</v>
      </c>
      <c r="O330" s="127">
        <f t="shared" si="416"/>
        <v>11137923</v>
      </c>
      <c r="P330" s="127">
        <f t="shared" si="424"/>
        <v>9944574.1071428563</v>
      </c>
      <c r="Q330" s="127">
        <f>Q329</f>
        <v>11137923</v>
      </c>
      <c r="R330" s="369"/>
      <c r="S330" s="365"/>
      <c r="T330" s="37"/>
      <c r="U330" s="37"/>
      <c r="V330" s="37"/>
      <c r="W330" s="37"/>
      <c r="X330" s="37"/>
      <c r="Y330" s="37"/>
      <c r="Z330" s="126"/>
      <c r="AA330" s="126"/>
      <c r="AB330" s="126"/>
      <c r="AC330" s="126">
        <f>AC329</f>
        <v>0</v>
      </c>
      <c r="AD330" s="125">
        <f t="shared" si="417"/>
        <v>0</v>
      </c>
      <c r="AE330" s="126"/>
      <c r="AF330" s="126">
        <f t="shared" si="418"/>
        <v>0</v>
      </c>
      <c r="AG330" s="126">
        <f t="shared" si="418"/>
        <v>0</v>
      </c>
      <c r="AH330" s="126"/>
      <c r="AI330" s="126"/>
      <c r="AJ330" s="126"/>
      <c r="AK330" s="126"/>
      <c r="AL330" s="126">
        <f>AL329</f>
        <v>0</v>
      </c>
      <c r="AM330" s="125">
        <f t="shared" si="419"/>
        <v>0</v>
      </c>
      <c r="AN330" s="126"/>
      <c r="AO330" s="125">
        <f>AO329</f>
        <v>-13236.533333333335</v>
      </c>
      <c r="AP330" s="125">
        <f>AP329</f>
        <v>-14824.917333333337</v>
      </c>
      <c r="AQ330" s="125"/>
      <c r="AR330" s="128" t="str">
        <f t="shared" si="349"/>
        <v/>
      </c>
      <c r="AS330" s="129"/>
      <c r="AT330" s="129">
        <f>AL330</f>
        <v>0</v>
      </c>
      <c r="AU330" s="129"/>
      <c r="AV330" s="125">
        <f>AL330</f>
        <v>0</v>
      </c>
      <c r="AW330" s="125">
        <f t="shared" si="425"/>
        <v>0</v>
      </c>
      <c r="AX330" s="125"/>
      <c r="AY330" s="125"/>
      <c r="AZ330" s="125"/>
      <c r="BA330" s="125"/>
      <c r="BB330" s="125"/>
      <c r="BC330" s="125"/>
      <c r="BD330" s="125"/>
      <c r="BE330" s="125"/>
      <c r="BF330" s="125"/>
      <c r="BG330" s="125"/>
      <c r="BH330" s="125"/>
      <c r="BI330" s="125"/>
      <c r="BJ330" s="125"/>
      <c r="BK330" s="125"/>
      <c r="BL330" s="125"/>
      <c r="BM330" s="25"/>
      <c r="BN330" s="25"/>
      <c r="BO330" s="25"/>
      <c r="BP330" s="25"/>
      <c r="BQ330" s="25"/>
      <c r="BR330" s="25"/>
      <c r="BS330" s="25"/>
      <c r="BT330" s="25"/>
      <c r="BW330" s="25"/>
      <c r="BX330" s="26"/>
    </row>
    <row r="331" spans="1:76" s="204" customFormat="1" x14ac:dyDescent="0.25">
      <c r="A331" s="416"/>
      <c r="B331" s="375"/>
      <c r="C331" s="193" t="s">
        <v>69</v>
      </c>
      <c r="D331" s="193" t="s">
        <v>70</v>
      </c>
      <c r="E331" s="194"/>
      <c r="F331" s="194"/>
      <c r="G331" s="403"/>
      <c r="H331" s="405"/>
      <c r="I331" s="195"/>
      <c r="J331" s="195"/>
      <c r="K331" s="370" t="s">
        <v>154</v>
      </c>
      <c r="L331" s="369" t="s">
        <v>166</v>
      </c>
      <c r="M331" s="406" t="s">
        <v>96</v>
      </c>
      <c r="N331" s="196">
        <f t="shared" si="416"/>
        <v>19889148.232142854</v>
      </c>
      <c r="O331" s="196">
        <f t="shared" si="416"/>
        <v>22275846.02</v>
      </c>
      <c r="P331" s="196">
        <f>Q331/1.12</f>
        <v>19889148.232142854</v>
      </c>
      <c r="Q331" s="196">
        <v>22275846.02</v>
      </c>
      <c r="R331" s="369" t="s">
        <v>134</v>
      </c>
      <c r="S331" s="365">
        <v>10</v>
      </c>
      <c r="T331" s="214"/>
      <c r="U331" s="214"/>
      <c r="V331" s="214"/>
      <c r="W331" s="214"/>
      <c r="X331" s="214"/>
      <c r="Y331" s="214"/>
      <c r="Z331" s="198"/>
      <c r="AA331" s="198"/>
      <c r="AB331" s="198"/>
      <c r="AC331" s="198"/>
      <c r="AD331" s="199">
        <f t="shared" si="417"/>
        <v>0</v>
      </c>
      <c r="AE331" s="198"/>
      <c r="AF331" s="198">
        <f t="shared" si="418"/>
        <v>0</v>
      </c>
      <c r="AG331" s="198">
        <f t="shared" si="418"/>
        <v>0</v>
      </c>
      <c r="AH331" s="198">
        <f t="shared" si="418"/>
        <v>0</v>
      </c>
      <c r="AI331" s="198"/>
      <c r="AJ331" s="198"/>
      <c r="AK331" s="198"/>
      <c r="AL331" s="198">
        <v>16703</v>
      </c>
      <c r="AM331" s="199">
        <f t="shared" si="419"/>
        <v>18707.36</v>
      </c>
      <c r="AN331" s="198">
        <f>5+5</f>
        <v>10</v>
      </c>
      <c r="AO331" s="199">
        <f>AQ331*$AI$322/$AK$322+AL331-$AI$322/$AK$322*AN331</f>
        <v>-9770.0666666666693</v>
      </c>
      <c r="AP331" s="199">
        <f>AO331*1.12</f>
        <v>-10942.474666666671</v>
      </c>
      <c r="AQ331" s="199">
        <f>AN331-(5+5)</f>
        <v>0</v>
      </c>
      <c r="AR331" s="200" t="str">
        <f t="shared" si="349"/>
        <v/>
      </c>
      <c r="AS331" s="201"/>
      <c r="AT331" s="201"/>
      <c r="AU331" s="201"/>
      <c r="AV331" s="199"/>
      <c r="AW331" s="199">
        <f>AV331*1.12</f>
        <v>0</v>
      </c>
      <c r="AX331" s="199"/>
      <c r="AY331" s="199"/>
      <c r="AZ331" s="199">
        <f>AL331-$AI$322/$AK$322*AN331</f>
        <v>-9770.0666666666693</v>
      </c>
      <c r="BA331" s="199"/>
      <c r="BB331" s="199"/>
      <c r="BC331" s="199"/>
      <c r="BD331" s="199"/>
      <c r="BE331" s="199"/>
      <c r="BF331" s="237"/>
      <c r="BG331" s="199"/>
      <c r="BH331" s="199"/>
      <c r="BI331" s="199"/>
      <c r="BJ331" s="199"/>
      <c r="BK331" s="199"/>
      <c r="BL331" s="199">
        <f>AQ331*$AI$322/$AK$322</f>
        <v>0</v>
      </c>
      <c r="BM331" s="202"/>
      <c r="BN331" s="202"/>
      <c r="BO331" s="202"/>
      <c r="BP331" s="202"/>
      <c r="BQ331" s="202"/>
      <c r="BR331" s="202"/>
      <c r="BS331" s="202"/>
      <c r="BT331" s="202"/>
      <c r="BW331" s="202"/>
      <c r="BX331" s="205"/>
    </row>
    <row r="332" spans="1:76" s="97" customFormat="1" x14ac:dyDescent="0.25">
      <c r="A332" s="416"/>
      <c r="B332" s="375"/>
      <c r="C332" s="117" t="s">
        <v>71</v>
      </c>
      <c r="D332" s="117" t="s">
        <v>72</v>
      </c>
      <c r="E332" s="163"/>
      <c r="F332" s="163"/>
      <c r="G332" s="403"/>
      <c r="H332" s="405"/>
      <c r="I332" s="161"/>
      <c r="J332" s="161"/>
      <c r="K332" s="370"/>
      <c r="L332" s="369"/>
      <c r="M332" s="406"/>
      <c r="N332" s="120">
        <f t="shared" si="416"/>
        <v>19889148.232142854</v>
      </c>
      <c r="O332" s="120">
        <f t="shared" si="416"/>
        <v>22275846.02</v>
      </c>
      <c r="P332" s="120">
        <f t="shared" ref="P332:P333" si="426">Q332/1.12</f>
        <v>19889148.232142854</v>
      </c>
      <c r="Q332" s="120">
        <f>Q331</f>
        <v>22275846.02</v>
      </c>
      <c r="R332" s="369"/>
      <c r="S332" s="365"/>
      <c r="T332" s="206"/>
      <c r="U332" s="206"/>
      <c r="V332" s="206"/>
      <c r="W332" s="206"/>
      <c r="X332" s="206"/>
      <c r="Y332" s="206"/>
      <c r="Z332" s="119"/>
      <c r="AA332" s="119"/>
      <c r="AB332" s="119"/>
      <c r="AC332" s="119"/>
      <c r="AD332" s="118">
        <f t="shared" si="417"/>
        <v>0</v>
      </c>
      <c r="AE332" s="119"/>
      <c r="AF332" s="119">
        <f t="shared" si="418"/>
        <v>0</v>
      </c>
      <c r="AG332" s="119">
        <f t="shared" si="418"/>
        <v>0</v>
      </c>
      <c r="AH332" s="119"/>
      <c r="AI332" s="119"/>
      <c r="AJ332" s="119"/>
      <c r="AK332" s="119"/>
      <c r="AL332" s="119"/>
      <c r="AM332" s="118">
        <f t="shared" si="419"/>
        <v>0</v>
      </c>
      <c r="AN332" s="119"/>
      <c r="AO332" s="118">
        <f>AQ331*$AI$323/$AK$322+AL332-AI323/AK322*AN331</f>
        <v>-26473.066666666669</v>
      </c>
      <c r="AP332" s="118">
        <f>AO332*1.12</f>
        <v>-29649.834666666673</v>
      </c>
      <c r="AQ332" s="118"/>
      <c r="AR332" s="121" t="str">
        <f t="shared" si="349"/>
        <v/>
      </c>
      <c r="AS332" s="122"/>
      <c r="AT332" s="122">
        <f>AL332</f>
        <v>0</v>
      </c>
      <c r="AU332" s="122"/>
      <c r="AV332" s="118">
        <f>AL332</f>
        <v>0</v>
      </c>
      <c r="AW332" s="118">
        <f t="shared" ref="AW332:AW333" si="427">AV332*1.12</f>
        <v>0</v>
      </c>
      <c r="AX332" s="118"/>
      <c r="AY332" s="118"/>
      <c r="AZ332" s="118"/>
      <c r="BA332" s="118"/>
      <c r="BB332" s="118"/>
      <c r="BC332" s="118"/>
      <c r="BD332" s="118"/>
      <c r="BE332" s="118"/>
      <c r="BF332" s="118"/>
      <c r="BG332" s="118"/>
      <c r="BH332" s="118"/>
      <c r="BI332" s="118"/>
      <c r="BJ332" s="118"/>
      <c r="BK332" s="118"/>
      <c r="BL332" s="118"/>
      <c r="BM332" s="100"/>
      <c r="BN332" s="100"/>
      <c r="BO332" s="100"/>
      <c r="BP332" s="100"/>
      <c r="BQ332" s="100"/>
      <c r="BR332" s="100"/>
      <c r="BS332" s="100"/>
      <c r="BT332" s="100"/>
      <c r="BU332" s="97">
        <v>11562480</v>
      </c>
      <c r="BW332" s="100"/>
      <c r="BX332" s="101"/>
    </row>
    <row r="333" spans="1:76" x14ac:dyDescent="0.25">
      <c r="A333" s="416"/>
      <c r="B333" s="375"/>
      <c r="C333" s="124" t="s">
        <v>71</v>
      </c>
      <c r="D333" s="124" t="s">
        <v>73</v>
      </c>
      <c r="E333" s="167"/>
      <c r="F333" s="167"/>
      <c r="G333" s="403"/>
      <c r="H333" s="405"/>
      <c r="I333" s="166"/>
      <c r="J333" s="166"/>
      <c r="K333" s="370"/>
      <c r="L333" s="369"/>
      <c r="M333" s="406"/>
      <c r="N333" s="127">
        <f t="shared" si="416"/>
        <v>19889148.232142854</v>
      </c>
      <c r="O333" s="127">
        <f t="shared" si="416"/>
        <v>22275846.02</v>
      </c>
      <c r="P333" s="127">
        <f t="shared" si="426"/>
        <v>19889148.232142854</v>
      </c>
      <c r="Q333" s="127">
        <f>Q332</f>
        <v>22275846.02</v>
      </c>
      <c r="R333" s="369"/>
      <c r="S333" s="365"/>
      <c r="T333" s="37"/>
      <c r="U333" s="37"/>
      <c r="V333" s="37"/>
      <c r="W333" s="37"/>
      <c r="X333" s="37"/>
      <c r="Y333" s="37"/>
      <c r="Z333" s="126"/>
      <c r="AA333" s="126"/>
      <c r="AB333" s="126"/>
      <c r="AC333" s="126">
        <f>AC332</f>
        <v>0</v>
      </c>
      <c r="AD333" s="125">
        <f t="shared" si="417"/>
        <v>0</v>
      </c>
      <c r="AE333" s="126"/>
      <c r="AF333" s="126">
        <f t="shared" si="418"/>
        <v>0</v>
      </c>
      <c r="AG333" s="126">
        <f t="shared" si="418"/>
        <v>0</v>
      </c>
      <c r="AH333" s="126"/>
      <c r="AI333" s="126"/>
      <c r="AJ333" s="126"/>
      <c r="AK333" s="126"/>
      <c r="AL333" s="126">
        <f>AL332</f>
        <v>0</v>
      </c>
      <c r="AM333" s="125">
        <f t="shared" si="419"/>
        <v>0</v>
      </c>
      <c r="AN333" s="126"/>
      <c r="AO333" s="125">
        <f>AO332</f>
        <v>-26473.066666666669</v>
      </c>
      <c r="AP333" s="125">
        <f>AP332</f>
        <v>-29649.834666666673</v>
      </c>
      <c r="AQ333" s="125"/>
      <c r="AR333" s="128" t="str">
        <f t="shared" si="349"/>
        <v/>
      </c>
      <c r="AS333" s="129"/>
      <c r="AT333" s="129">
        <f>AL333</f>
        <v>0</v>
      </c>
      <c r="AU333" s="129"/>
      <c r="AV333" s="125">
        <f>AL333</f>
        <v>0</v>
      </c>
      <c r="AW333" s="125">
        <f t="shared" si="427"/>
        <v>0</v>
      </c>
      <c r="AX333" s="125"/>
      <c r="AY333" s="125"/>
      <c r="AZ333" s="125"/>
      <c r="BA333" s="125"/>
      <c r="BB333" s="125"/>
      <c r="BC333" s="125"/>
      <c r="BD333" s="125"/>
      <c r="BE333" s="125"/>
      <c r="BF333" s="125"/>
      <c r="BG333" s="125"/>
      <c r="BH333" s="125"/>
      <c r="BI333" s="125"/>
      <c r="BJ333" s="125"/>
      <c r="BK333" s="125"/>
      <c r="BL333" s="125"/>
      <c r="BM333" s="25"/>
      <c r="BN333" s="25"/>
      <c r="BO333" s="25"/>
      <c r="BP333" s="25"/>
      <c r="BQ333" s="25"/>
      <c r="BR333" s="25"/>
      <c r="BS333" s="25"/>
      <c r="BT333" s="25"/>
      <c r="BW333" s="25"/>
      <c r="BX333" s="26"/>
    </row>
    <row r="334" spans="1:76" s="204" customFormat="1" x14ac:dyDescent="0.25">
      <c r="A334" s="416"/>
      <c r="B334" s="375"/>
      <c r="C334" s="193" t="s">
        <v>69</v>
      </c>
      <c r="D334" s="193" t="s">
        <v>70</v>
      </c>
      <c r="E334" s="194"/>
      <c r="F334" s="194"/>
      <c r="G334" s="403"/>
      <c r="H334" s="405"/>
      <c r="I334" s="195"/>
      <c r="J334" s="195"/>
      <c r="K334" s="370" t="s">
        <v>124</v>
      </c>
      <c r="L334" s="369" t="s">
        <v>167</v>
      </c>
      <c r="M334" s="406" t="s">
        <v>96</v>
      </c>
      <c r="N334" s="196">
        <f t="shared" si="416"/>
        <v>99445741.133928552</v>
      </c>
      <c r="O334" s="196">
        <f t="shared" si="416"/>
        <v>111379230.06999999</v>
      </c>
      <c r="P334" s="196">
        <f>Q334/1.12</f>
        <v>99445741.133928552</v>
      </c>
      <c r="Q334" s="196">
        <v>111379230.06999999</v>
      </c>
      <c r="R334" s="369" t="s">
        <v>134</v>
      </c>
      <c r="S334" s="365">
        <v>50</v>
      </c>
      <c r="T334" s="214"/>
      <c r="U334" s="214"/>
      <c r="V334" s="214"/>
      <c r="W334" s="214"/>
      <c r="X334" s="214"/>
      <c r="Y334" s="214"/>
      <c r="Z334" s="198"/>
      <c r="AA334" s="198"/>
      <c r="AB334" s="198"/>
      <c r="AC334" s="198"/>
      <c r="AD334" s="199">
        <f t="shared" si="417"/>
        <v>0</v>
      </c>
      <c r="AE334" s="198"/>
      <c r="AF334" s="198">
        <f t="shared" si="418"/>
        <v>0</v>
      </c>
      <c r="AG334" s="198">
        <f t="shared" si="418"/>
        <v>0</v>
      </c>
      <c r="AH334" s="198">
        <f t="shared" si="418"/>
        <v>0</v>
      </c>
      <c r="AI334" s="198"/>
      <c r="AJ334" s="198"/>
      <c r="AK334" s="198"/>
      <c r="AL334" s="198">
        <v>149421</v>
      </c>
      <c r="AM334" s="199">
        <f t="shared" si="419"/>
        <v>167351.52000000002</v>
      </c>
      <c r="AN334" s="198">
        <f>2+48</f>
        <v>50</v>
      </c>
      <c r="AO334" s="199">
        <f>AQ334*$AI$322/$AK$322+AL334-$AI$322/$AK$322*AN334</f>
        <v>17055.666666666657</v>
      </c>
      <c r="AP334" s="199">
        <f>AO334*1.12</f>
        <v>19102.346666666657</v>
      </c>
      <c r="AQ334" s="199">
        <f>AN334-(20+20+10)</f>
        <v>0</v>
      </c>
      <c r="AR334" s="200" t="str">
        <f t="shared" si="349"/>
        <v/>
      </c>
      <c r="AS334" s="201"/>
      <c r="AT334" s="201"/>
      <c r="AU334" s="201"/>
      <c r="AV334" s="199"/>
      <c r="AW334" s="199">
        <f>AV334*1.12</f>
        <v>0</v>
      </c>
      <c r="AX334" s="199"/>
      <c r="AY334" s="199"/>
      <c r="AZ334" s="199"/>
      <c r="BA334" s="199"/>
      <c r="BB334" s="199"/>
      <c r="BC334" s="199"/>
      <c r="BD334" s="199"/>
      <c r="BE334" s="199"/>
      <c r="BF334" s="237"/>
      <c r="BG334" s="199"/>
      <c r="BH334" s="199"/>
      <c r="BI334" s="199"/>
      <c r="BJ334" s="199"/>
      <c r="BK334" s="199"/>
      <c r="BL334" s="199">
        <f>AL334-$AI$322/$AK$322*AN334</f>
        <v>17055.666666666657</v>
      </c>
      <c r="BM334" s="202"/>
      <c r="BN334" s="202"/>
      <c r="BO334" s="202"/>
      <c r="BP334" s="202"/>
      <c r="BQ334" s="202"/>
      <c r="BR334" s="202"/>
      <c r="BS334" s="202"/>
      <c r="BT334" s="202"/>
      <c r="BW334" s="202"/>
      <c r="BX334" s="205"/>
    </row>
    <row r="335" spans="1:76" s="97" customFormat="1" x14ac:dyDescent="0.25">
      <c r="A335" s="416"/>
      <c r="B335" s="375"/>
      <c r="C335" s="117" t="s">
        <v>71</v>
      </c>
      <c r="D335" s="117" t="s">
        <v>72</v>
      </c>
      <c r="E335" s="163"/>
      <c r="F335" s="163"/>
      <c r="G335" s="403"/>
      <c r="H335" s="405"/>
      <c r="I335" s="161"/>
      <c r="J335" s="161"/>
      <c r="K335" s="370"/>
      <c r="L335" s="369"/>
      <c r="M335" s="406"/>
      <c r="N335" s="120">
        <f t="shared" si="416"/>
        <v>99445741.133928552</v>
      </c>
      <c r="O335" s="120">
        <f t="shared" si="416"/>
        <v>111379230.06999999</v>
      </c>
      <c r="P335" s="120">
        <f t="shared" ref="P335:P336" si="428">Q335/1.12</f>
        <v>99445741.133928552</v>
      </c>
      <c r="Q335" s="120">
        <f>Q334</f>
        <v>111379230.06999999</v>
      </c>
      <c r="R335" s="369"/>
      <c r="S335" s="365"/>
      <c r="T335" s="206"/>
      <c r="U335" s="206"/>
      <c r="V335" s="206"/>
      <c r="W335" s="206"/>
      <c r="X335" s="206"/>
      <c r="Y335" s="206"/>
      <c r="Z335" s="119"/>
      <c r="AA335" s="119"/>
      <c r="AB335" s="119"/>
      <c r="AC335" s="119"/>
      <c r="AD335" s="118">
        <f t="shared" si="417"/>
        <v>0</v>
      </c>
      <c r="AE335" s="119"/>
      <c r="AF335" s="119">
        <f t="shared" si="418"/>
        <v>0</v>
      </c>
      <c r="AG335" s="119">
        <f t="shared" si="418"/>
        <v>0</v>
      </c>
      <c r="AH335" s="119"/>
      <c r="AI335" s="119"/>
      <c r="AJ335" s="119"/>
      <c r="AK335" s="119"/>
      <c r="AL335" s="119"/>
      <c r="AM335" s="118">
        <f t="shared" si="419"/>
        <v>0</v>
      </c>
      <c r="AN335" s="119"/>
      <c r="AO335" s="118">
        <f>AQ334*$AI$323/$AK$322+AL335-AI323/AK322*AN334</f>
        <v>-132365.33333333334</v>
      </c>
      <c r="AP335" s="118">
        <f>AO335*1.12</f>
        <v>-148249.17333333337</v>
      </c>
      <c r="AQ335" s="118"/>
      <c r="AR335" s="121" t="str">
        <f t="shared" si="349"/>
        <v/>
      </c>
      <c r="AS335" s="122"/>
      <c r="AT335" s="122">
        <f>AL335</f>
        <v>0</v>
      </c>
      <c r="AU335" s="122"/>
      <c r="AV335" s="118">
        <f>AL335</f>
        <v>0</v>
      </c>
      <c r="AW335" s="118">
        <f t="shared" ref="AW335:AW336" si="429">AV335*1.12</f>
        <v>0</v>
      </c>
      <c r="AX335" s="118"/>
      <c r="AY335" s="118"/>
      <c r="AZ335" s="118"/>
      <c r="BA335" s="118"/>
      <c r="BB335" s="118"/>
      <c r="BC335" s="118"/>
      <c r="BD335" s="118"/>
      <c r="BE335" s="118"/>
      <c r="BF335" s="118"/>
      <c r="BG335" s="118"/>
      <c r="BH335" s="118"/>
      <c r="BI335" s="118"/>
      <c r="BJ335" s="118"/>
      <c r="BK335" s="118"/>
      <c r="BL335" s="118"/>
      <c r="BM335" s="100"/>
      <c r="BN335" s="100"/>
      <c r="BO335" s="100"/>
      <c r="BP335" s="100"/>
      <c r="BQ335" s="100"/>
      <c r="BR335" s="100"/>
      <c r="BS335" s="100"/>
      <c r="BT335" s="100"/>
      <c r="BU335" s="97">
        <v>11562480</v>
      </c>
      <c r="BW335" s="100"/>
      <c r="BX335" s="101"/>
    </row>
    <row r="336" spans="1:76" x14ac:dyDescent="0.25">
      <c r="A336" s="416"/>
      <c r="B336" s="375"/>
      <c r="C336" s="124" t="s">
        <v>71</v>
      </c>
      <c r="D336" s="124" t="s">
        <v>73</v>
      </c>
      <c r="E336" s="167"/>
      <c r="F336" s="167"/>
      <c r="G336" s="403"/>
      <c r="H336" s="405"/>
      <c r="I336" s="166"/>
      <c r="J336" s="166"/>
      <c r="K336" s="370"/>
      <c r="L336" s="369"/>
      <c r="M336" s="406"/>
      <c r="N336" s="127">
        <f t="shared" si="416"/>
        <v>99445741.133928552</v>
      </c>
      <c r="O336" s="127">
        <f t="shared" si="416"/>
        <v>111379230.06999999</v>
      </c>
      <c r="P336" s="127">
        <f t="shared" si="428"/>
        <v>99445741.133928552</v>
      </c>
      <c r="Q336" s="127">
        <f>Q335</f>
        <v>111379230.06999999</v>
      </c>
      <c r="R336" s="369"/>
      <c r="S336" s="365"/>
      <c r="T336" s="37"/>
      <c r="U336" s="37"/>
      <c r="V336" s="37"/>
      <c r="W336" s="37"/>
      <c r="X336" s="37"/>
      <c r="Y336" s="37"/>
      <c r="Z336" s="126"/>
      <c r="AA336" s="126"/>
      <c r="AB336" s="126"/>
      <c r="AC336" s="126">
        <f>AC335</f>
        <v>0</v>
      </c>
      <c r="AD336" s="125">
        <f t="shared" si="417"/>
        <v>0</v>
      </c>
      <c r="AE336" s="126"/>
      <c r="AF336" s="126">
        <f t="shared" si="418"/>
        <v>0</v>
      </c>
      <c r="AG336" s="126">
        <f t="shared" si="418"/>
        <v>0</v>
      </c>
      <c r="AH336" s="126"/>
      <c r="AI336" s="126"/>
      <c r="AJ336" s="126"/>
      <c r="AK336" s="126"/>
      <c r="AL336" s="126">
        <f>AL335</f>
        <v>0</v>
      </c>
      <c r="AM336" s="125">
        <f t="shared" si="419"/>
        <v>0</v>
      </c>
      <c r="AN336" s="126"/>
      <c r="AO336" s="125">
        <f>AO335</f>
        <v>-132365.33333333334</v>
      </c>
      <c r="AP336" s="125">
        <f>AP335</f>
        <v>-148249.17333333337</v>
      </c>
      <c r="AQ336" s="125"/>
      <c r="AR336" s="128" t="str">
        <f t="shared" si="349"/>
        <v/>
      </c>
      <c r="AS336" s="129"/>
      <c r="AT336" s="129">
        <f>AL336</f>
        <v>0</v>
      </c>
      <c r="AU336" s="129"/>
      <c r="AV336" s="125">
        <f>AL336</f>
        <v>0</v>
      </c>
      <c r="AW336" s="125">
        <f t="shared" si="429"/>
        <v>0</v>
      </c>
      <c r="AX336" s="125"/>
      <c r="AY336" s="125"/>
      <c r="AZ336" s="125"/>
      <c r="BA336" s="125"/>
      <c r="BB336" s="125"/>
      <c r="BC336" s="125"/>
      <c r="BD336" s="125"/>
      <c r="BE336" s="125"/>
      <c r="BF336" s="125"/>
      <c r="BG336" s="125"/>
      <c r="BH336" s="125"/>
      <c r="BI336" s="125"/>
      <c r="BJ336" s="125"/>
      <c r="BK336" s="125"/>
      <c r="BL336" s="125"/>
      <c r="BM336" s="25"/>
      <c r="BN336" s="25"/>
      <c r="BO336" s="25"/>
      <c r="BP336" s="25"/>
      <c r="BQ336" s="25"/>
      <c r="BR336" s="25"/>
      <c r="BS336" s="25"/>
      <c r="BT336" s="25"/>
      <c r="BW336" s="25"/>
      <c r="BX336" s="26"/>
    </row>
    <row r="337" spans="1:76" s="204" customFormat="1" x14ac:dyDescent="0.25">
      <c r="A337" s="416"/>
      <c r="B337" s="375"/>
      <c r="C337" s="193" t="s">
        <v>69</v>
      </c>
      <c r="D337" s="193" t="s">
        <v>70</v>
      </c>
      <c r="E337" s="194"/>
      <c r="F337" s="194"/>
      <c r="G337" s="403"/>
      <c r="H337" s="405"/>
      <c r="I337" s="195"/>
      <c r="J337" s="195"/>
      <c r="K337" s="370" t="s">
        <v>115</v>
      </c>
      <c r="L337" s="369" t="s">
        <v>164</v>
      </c>
      <c r="M337" s="406" t="s">
        <v>96</v>
      </c>
      <c r="N337" s="196">
        <f t="shared" si="416"/>
        <v>39778296.446428567</v>
      </c>
      <c r="O337" s="196">
        <f t="shared" si="416"/>
        <v>44551692.020000003</v>
      </c>
      <c r="P337" s="196">
        <f>Q337/1.12</f>
        <v>39778296.446428567</v>
      </c>
      <c r="Q337" s="196">
        <v>44551692.020000003</v>
      </c>
      <c r="R337" s="369" t="s">
        <v>134</v>
      </c>
      <c r="S337" s="365">
        <v>20</v>
      </c>
      <c r="T337" s="214"/>
      <c r="U337" s="214"/>
      <c r="V337" s="214"/>
      <c r="W337" s="214"/>
      <c r="X337" s="214"/>
      <c r="Y337" s="214"/>
      <c r="Z337" s="198"/>
      <c r="AA337" s="198"/>
      <c r="AB337" s="198"/>
      <c r="AC337" s="198"/>
      <c r="AD337" s="199">
        <f t="shared" si="417"/>
        <v>0</v>
      </c>
      <c r="AE337" s="198"/>
      <c r="AF337" s="198">
        <f t="shared" si="418"/>
        <v>0</v>
      </c>
      <c r="AG337" s="198">
        <f t="shared" si="418"/>
        <v>0</v>
      </c>
      <c r="AH337" s="198">
        <f t="shared" si="418"/>
        <v>0</v>
      </c>
      <c r="AI337" s="198"/>
      <c r="AJ337" s="198"/>
      <c r="AK337" s="198"/>
      <c r="AL337" s="198">
        <v>27340</v>
      </c>
      <c r="AM337" s="199">
        <f t="shared" si="419"/>
        <v>30620.800000000003</v>
      </c>
      <c r="AN337" s="198">
        <f>2+18</f>
        <v>20</v>
      </c>
      <c r="AO337" s="199">
        <f>AQ337*$AI$322/$AK$322+AL337-$AI$322/$AK$322*AN337</f>
        <v>-25606.133333333339</v>
      </c>
      <c r="AP337" s="199">
        <f>AO337*1.12</f>
        <v>-28678.869333333343</v>
      </c>
      <c r="AQ337" s="199">
        <f>AN337-(10+10)</f>
        <v>0</v>
      </c>
      <c r="AR337" s="200" t="str">
        <f t="shared" si="349"/>
        <v/>
      </c>
      <c r="AS337" s="201"/>
      <c r="AT337" s="201"/>
      <c r="AU337" s="201"/>
      <c r="AV337" s="199"/>
      <c r="AW337" s="199">
        <f>AV337*1.12</f>
        <v>0</v>
      </c>
      <c r="AX337" s="199"/>
      <c r="AY337" s="199"/>
      <c r="AZ337" s="199">
        <f>AL337-$AI$322/$AK$322*AN337</f>
        <v>-25606.133333333339</v>
      </c>
      <c r="BA337" s="199"/>
      <c r="BB337" s="199"/>
      <c r="BC337" s="199"/>
      <c r="BD337" s="199"/>
      <c r="BE337" s="199"/>
      <c r="BF337" s="237"/>
      <c r="BG337" s="199"/>
      <c r="BH337" s="199"/>
      <c r="BI337" s="199"/>
      <c r="BJ337" s="199"/>
      <c r="BK337" s="199"/>
      <c r="BL337" s="199">
        <f>AQ337*$AI$322/$AK$322</f>
        <v>0</v>
      </c>
      <c r="BM337" s="202"/>
      <c r="BN337" s="202"/>
      <c r="BO337" s="202"/>
      <c r="BP337" s="202"/>
      <c r="BQ337" s="202"/>
      <c r="BR337" s="202"/>
      <c r="BS337" s="202"/>
      <c r="BT337" s="202"/>
      <c r="BW337" s="202"/>
      <c r="BX337" s="205"/>
    </row>
    <row r="338" spans="1:76" s="97" customFormat="1" x14ac:dyDescent="0.25">
      <c r="A338" s="416"/>
      <c r="B338" s="375"/>
      <c r="C338" s="117" t="s">
        <v>71</v>
      </c>
      <c r="D338" s="117" t="s">
        <v>72</v>
      </c>
      <c r="E338" s="163"/>
      <c r="F338" s="163"/>
      <c r="G338" s="403"/>
      <c r="H338" s="405"/>
      <c r="I338" s="161"/>
      <c r="J338" s="161"/>
      <c r="K338" s="370"/>
      <c r="L338" s="369"/>
      <c r="M338" s="406"/>
      <c r="N338" s="120">
        <f t="shared" si="416"/>
        <v>39778296.446428567</v>
      </c>
      <c r="O338" s="120">
        <f t="shared" si="416"/>
        <v>44551692.020000003</v>
      </c>
      <c r="P338" s="120">
        <f t="shared" ref="P338:P339" si="430">Q338/1.12</f>
        <v>39778296.446428567</v>
      </c>
      <c r="Q338" s="120">
        <f>Q337</f>
        <v>44551692.020000003</v>
      </c>
      <c r="R338" s="369"/>
      <c r="S338" s="365"/>
      <c r="T338" s="206"/>
      <c r="U338" s="206"/>
      <c r="V338" s="206"/>
      <c r="W338" s="206"/>
      <c r="X338" s="206"/>
      <c r="Y338" s="206"/>
      <c r="Z338" s="119"/>
      <c r="AA338" s="119"/>
      <c r="AB338" s="119"/>
      <c r="AC338" s="119"/>
      <c r="AD338" s="118">
        <f t="shared" si="417"/>
        <v>0</v>
      </c>
      <c r="AE338" s="119"/>
      <c r="AF338" s="119">
        <f t="shared" si="418"/>
        <v>0</v>
      </c>
      <c r="AG338" s="119">
        <f t="shared" si="418"/>
        <v>0</v>
      </c>
      <c r="AH338" s="119"/>
      <c r="AI338" s="119"/>
      <c r="AJ338" s="119"/>
      <c r="AK338" s="119"/>
      <c r="AL338" s="119"/>
      <c r="AM338" s="118">
        <f t="shared" si="419"/>
        <v>0</v>
      </c>
      <c r="AN338" s="119"/>
      <c r="AO338" s="118">
        <f>AQ337*$AI$323/$AK$322+AL338-AI323/AK322*AN337</f>
        <v>-52946.133333333339</v>
      </c>
      <c r="AP338" s="118">
        <f>AO338*1.12</f>
        <v>-59299.669333333346</v>
      </c>
      <c r="AQ338" s="118"/>
      <c r="AR338" s="121" t="str">
        <f t="shared" si="349"/>
        <v/>
      </c>
      <c r="AS338" s="122"/>
      <c r="AT338" s="122">
        <f>AL338</f>
        <v>0</v>
      </c>
      <c r="AU338" s="122"/>
      <c r="AV338" s="118">
        <f>AL338</f>
        <v>0</v>
      </c>
      <c r="AW338" s="118">
        <f t="shared" ref="AW338:AW339" si="431">AV338*1.12</f>
        <v>0</v>
      </c>
      <c r="AX338" s="118"/>
      <c r="AY338" s="118"/>
      <c r="AZ338" s="118"/>
      <c r="BA338" s="118"/>
      <c r="BB338" s="118"/>
      <c r="BC338" s="118"/>
      <c r="BD338" s="118"/>
      <c r="BE338" s="118"/>
      <c r="BF338" s="118"/>
      <c r="BG338" s="118"/>
      <c r="BH338" s="118"/>
      <c r="BI338" s="118"/>
      <c r="BJ338" s="118"/>
      <c r="BK338" s="118"/>
      <c r="BL338" s="118"/>
      <c r="BM338" s="100"/>
      <c r="BN338" s="100"/>
      <c r="BO338" s="100"/>
      <c r="BP338" s="100"/>
      <c r="BQ338" s="100"/>
      <c r="BR338" s="100"/>
      <c r="BS338" s="100"/>
      <c r="BT338" s="100"/>
      <c r="BU338" s="97">
        <v>11562480</v>
      </c>
      <c r="BW338" s="100"/>
      <c r="BX338" s="101"/>
    </row>
    <row r="339" spans="1:76" x14ac:dyDescent="0.25">
      <c r="A339" s="416"/>
      <c r="B339" s="375"/>
      <c r="C339" s="124" t="s">
        <v>71</v>
      </c>
      <c r="D339" s="124" t="s">
        <v>73</v>
      </c>
      <c r="E339" s="167"/>
      <c r="F339" s="167"/>
      <c r="G339" s="403"/>
      <c r="H339" s="405"/>
      <c r="I339" s="166"/>
      <c r="J339" s="166"/>
      <c r="K339" s="370"/>
      <c r="L339" s="369"/>
      <c r="M339" s="406"/>
      <c r="N339" s="127">
        <f t="shared" si="416"/>
        <v>39778296.446428567</v>
      </c>
      <c r="O339" s="127">
        <f t="shared" si="416"/>
        <v>44551692.020000003</v>
      </c>
      <c r="P339" s="127">
        <f t="shared" si="430"/>
        <v>39778296.446428567</v>
      </c>
      <c r="Q339" s="127">
        <f>Q338</f>
        <v>44551692.020000003</v>
      </c>
      <c r="R339" s="369"/>
      <c r="S339" s="365"/>
      <c r="T339" s="37"/>
      <c r="U339" s="37"/>
      <c r="V339" s="37"/>
      <c r="W339" s="37"/>
      <c r="X339" s="37"/>
      <c r="Y339" s="37"/>
      <c r="Z339" s="126"/>
      <c r="AA339" s="126"/>
      <c r="AB339" s="126"/>
      <c r="AC339" s="126">
        <f>AC338</f>
        <v>0</v>
      </c>
      <c r="AD339" s="125">
        <f t="shared" si="417"/>
        <v>0</v>
      </c>
      <c r="AE339" s="126"/>
      <c r="AF339" s="126">
        <f t="shared" si="418"/>
        <v>0</v>
      </c>
      <c r="AG339" s="126">
        <f t="shared" si="418"/>
        <v>0</v>
      </c>
      <c r="AH339" s="126"/>
      <c r="AI339" s="126"/>
      <c r="AJ339" s="126"/>
      <c r="AK339" s="126"/>
      <c r="AL339" s="126">
        <f>AL338</f>
        <v>0</v>
      </c>
      <c r="AM339" s="125">
        <f t="shared" si="419"/>
        <v>0</v>
      </c>
      <c r="AN339" s="126"/>
      <c r="AO339" s="125">
        <f>AO338</f>
        <v>-52946.133333333339</v>
      </c>
      <c r="AP339" s="125">
        <f>AP338</f>
        <v>-59299.669333333346</v>
      </c>
      <c r="AQ339" s="125"/>
      <c r="AR339" s="128" t="str">
        <f t="shared" si="349"/>
        <v/>
      </c>
      <c r="AS339" s="129"/>
      <c r="AT339" s="129">
        <f>AL339</f>
        <v>0</v>
      </c>
      <c r="AU339" s="129"/>
      <c r="AV339" s="125">
        <f>AL339</f>
        <v>0</v>
      </c>
      <c r="AW339" s="125">
        <f t="shared" si="431"/>
        <v>0</v>
      </c>
      <c r="AX339" s="125"/>
      <c r="AY339" s="125"/>
      <c r="AZ339" s="125"/>
      <c r="BA339" s="125"/>
      <c r="BB339" s="125"/>
      <c r="BC339" s="125"/>
      <c r="BD339" s="125"/>
      <c r="BE339" s="125"/>
      <c r="BF339" s="125"/>
      <c r="BG339" s="125"/>
      <c r="BH339" s="125"/>
      <c r="BI339" s="125"/>
      <c r="BJ339" s="125"/>
      <c r="BK339" s="125"/>
      <c r="BL339" s="125"/>
      <c r="BM339" s="25"/>
      <c r="BN339" s="25"/>
      <c r="BO339" s="25"/>
      <c r="BP339" s="25"/>
      <c r="BQ339" s="25"/>
      <c r="BR339" s="25"/>
      <c r="BS339" s="25"/>
      <c r="BT339" s="25"/>
      <c r="BW339" s="25"/>
      <c r="BX339" s="26"/>
    </row>
    <row r="340" spans="1:76" s="204" customFormat="1" x14ac:dyDescent="0.25">
      <c r="A340" s="416"/>
      <c r="B340" s="375"/>
      <c r="C340" s="193" t="s">
        <v>69</v>
      </c>
      <c r="D340" s="193" t="s">
        <v>70</v>
      </c>
      <c r="E340" s="194"/>
      <c r="F340" s="194"/>
      <c r="G340" s="403"/>
      <c r="H340" s="405"/>
      <c r="I340" s="195"/>
      <c r="J340" s="195"/>
      <c r="K340" s="370" t="s">
        <v>142</v>
      </c>
      <c r="L340" s="369" t="s">
        <v>162</v>
      </c>
      <c r="M340" s="406" t="s">
        <v>96</v>
      </c>
      <c r="N340" s="196">
        <f t="shared" si="416"/>
        <v>9944574.1071428563</v>
      </c>
      <c r="O340" s="196">
        <f t="shared" si="416"/>
        <v>11137923</v>
      </c>
      <c r="P340" s="196">
        <f>Q340/1.12</f>
        <v>9944574.1071428563</v>
      </c>
      <c r="Q340" s="196">
        <v>11137923</v>
      </c>
      <c r="R340" s="369" t="s">
        <v>134</v>
      </c>
      <c r="S340" s="365">
        <v>5</v>
      </c>
      <c r="T340" s="214"/>
      <c r="U340" s="214"/>
      <c r="V340" s="214"/>
      <c r="W340" s="214"/>
      <c r="X340" s="214"/>
      <c r="Y340" s="214"/>
      <c r="Z340" s="198"/>
      <c r="AA340" s="198"/>
      <c r="AB340" s="198"/>
      <c r="AC340" s="198"/>
      <c r="AD340" s="199">
        <f t="shared" si="417"/>
        <v>0</v>
      </c>
      <c r="AE340" s="198"/>
      <c r="AF340" s="198">
        <f t="shared" si="418"/>
        <v>0</v>
      </c>
      <c r="AG340" s="198">
        <f t="shared" si="418"/>
        <v>0</v>
      </c>
      <c r="AH340" s="198">
        <f t="shared" si="418"/>
        <v>0</v>
      </c>
      <c r="AI340" s="198"/>
      <c r="AJ340" s="198"/>
      <c r="AK340" s="198"/>
      <c r="AL340" s="198">
        <f>9663-6</f>
        <v>9657</v>
      </c>
      <c r="AM340" s="199">
        <f t="shared" si="419"/>
        <v>10815.84</v>
      </c>
      <c r="AN340" s="198">
        <f>5</f>
        <v>5</v>
      </c>
      <c r="AO340" s="199">
        <f>AQ340*$AI$322/$AK$322+AL340-$AI$322/$AK$322*AN340</f>
        <v>-3579.5333333333347</v>
      </c>
      <c r="AP340" s="199">
        <f>AO340*1.12</f>
        <v>-4009.077333333335</v>
      </c>
      <c r="AQ340" s="199">
        <f>AN340-(2+3)</f>
        <v>0</v>
      </c>
      <c r="AR340" s="200" t="str">
        <f t="shared" si="349"/>
        <v/>
      </c>
      <c r="AS340" s="201"/>
      <c r="AT340" s="201"/>
      <c r="AU340" s="201"/>
      <c r="AV340" s="199"/>
      <c r="AW340" s="199">
        <f>AV340*1.12</f>
        <v>0</v>
      </c>
      <c r="AX340" s="199"/>
      <c r="AY340" s="199"/>
      <c r="AZ340" s="199">
        <f>AL340-$AI$322/$AK$322*AN340</f>
        <v>-3579.5333333333347</v>
      </c>
      <c r="BA340" s="199"/>
      <c r="BB340" s="199"/>
      <c r="BC340" s="199"/>
      <c r="BD340" s="199"/>
      <c r="BE340" s="199"/>
      <c r="BF340" s="237"/>
      <c r="BG340" s="199"/>
      <c r="BH340" s="199"/>
      <c r="BI340" s="199"/>
      <c r="BJ340" s="199"/>
      <c r="BK340" s="199"/>
      <c r="BL340" s="199">
        <f>AQ340*$AI$322/$AK$322</f>
        <v>0</v>
      </c>
      <c r="BM340" s="202"/>
      <c r="BN340" s="202"/>
      <c r="BO340" s="202"/>
      <c r="BP340" s="202"/>
      <c r="BQ340" s="202"/>
      <c r="BR340" s="202"/>
      <c r="BS340" s="202"/>
      <c r="BT340" s="202"/>
      <c r="BW340" s="202"/>
      <c r="BX340" s="205"/>
    </row>
    <row r="341" spans="1:76" s="97" customFormat="1" x14ac:dyDescent="0.25">
      <c r="A341" s="416"/>
      <c r="B341" s="375"/>
      <c r="C341" s="117" t="s">
        <v>71</v>
      </c>
      <c r="D341" s="117" t="s">
        <v>72</v>
      </c>
      <c r="E341" s="163"/>
      <c r="F341" s="163"/>
      <c r="G341" s="403"/>
      <c r="H341" s="405"/>
      <c r="I341" s="161"/>
      <c r="J341" s="161"/>
      <c r="K341" s="370"/>
      <c r="L341" s="369"/>
      <c r="M341" s="406"/>
      <c r="N341" s="120">
        <f t="shared" si="416"/>
        <v>9944574.1071428563</v>
      </c>
      <c r="O341" s="120">
        <f t="shared" si="416"/>
        <v>11137923</v>
      </c>
      <c r="P341" s="120">
        <f t="shared" ref="P341:P342" si="432">Q341/1.12</f>
        <v>9944574.1071428563</v>
      </c>
      <c r="Q341" s="120">
        <f>Q340</f>
        <v>11137923</v>
      </c>
      <c r="R341" s="369"/>
      <c r="S341" s="365"/>
      <c r="T341" s="206"/>
      <c r="U341" s="206"/>
      <c r="V341" s="206"/>
      <c r="W341" s="206"/>
      <c r="X341" s="206"/>
      <c r="Y341" s="206"/>
      <c r="Z341" s="119"/>
      <c r="AA341" s="119"/>
      <c r="AB341" s="119"/>
      <c r="AC341" s="119"/>
      <c r="AD341" s="118">
        <f t="shared" si="417"/>
        <v>0</v>
      </c>
      <c r="AE341" s="119"/>
      <c r="AF341" s="119">
        <f t="shared" si="418"/>
        <v>0</v>
      </c>
      <c r="AG341" s="119">
        <f t="shared" si="418"/>
        <v>0</v>
      </c>
      <c r="AH341" s="119"/>
      <c r="AI341" s="119"/>
      <c r="AJ341" s="119"/>
      <c r="AK341" s="119"/>
      <c r="AL341" s="119"/>
      <c r="AM341" s="118">
        <f t="shared" si="419"/>
        <v>0</v>
      </c>
      <c r="AN341" s="119"/>
      <c r="AO341" s="118">
        <f>AQ340*$AI$323/$AK$322+AL341-AI323/AK322*AN340</f>
        <v>-13236.533333333335</v>
      </c>
      <c r="AP341" s="118">
        <f>AO341*1.12</f>
        <v>-14824.917333333337</v>
      </c>
      <c r="AQ341" s="118"/>
      <c r="AR341" s="121" t="str">
        <f t="shared" si="349"/>
        <v/>
      </c>
      <c r="AS341" s="122"/>
      <c r="AT341" s="122">
        <f>AL341</f>
        <v>0</v>
      </c>
      <c r="AU341" s="122"/>
      <c r="AV341" s="118">
        <f>AL341</f>
        <v>0</v>
      </c>
      <c r="AW341" s="118">
        <f t="shared" ref="AW341:AW342" si="433">AV341*1.12</f>
        <v>0</v>
      </c>
      <c r="AX341" s="118"/>
      <c r="AY341" s="118"/>
      <c r="AZ341" s="118"/>
      <c r="BA341" s="118"/>
      <c r="BB341" s="118"/>
      <c r="BC341" s="118"/>
      <c r="BD341" s="118"/>
      <c r="BE341" s="118"/>
      <c r="BF341" s="118"/>
      <c r="BG341" s="118"/>
      <c r="BH341" s="118"/>
      <c r="BI341" s="118"/>
      <c r="BJ341" s="118"/>
      <c r="BK341" s="118"/>
      <c r="BL341" s="118"/>
      <c r="BM341" s="100"/>
      <c r="BN341" s="100"/>
      <c r="BO341" s="100"/>
      <c r="BP341" s="100"/>
      <c r="BQ341" s="100"/>
      <c r="BR341" s="100"/>
      <c r="BS341" s="100"/>
      <c r="BT341" s="100"/>
      <c r="BU341" s="97">
        <v>11562480</v>
      </c>
      <c r="BW341" s="100"/>
      <c r="BX341" s="101"/>
    </row>
    <row r="342" spans="1:76" x14ac:dyDescent="0.25">
      <c r="A342" s="356"/>
      <c r="B342" s="354"/>
      <c r="C342" s="124" t="s">
        <v>71</v>
      </c>
      <c r="D342" s="124" t="s">
        <v>73</v>
      </c>
      <c r="E342" s="167"/>
      <c r="F342" s="167"/>
      <c r="G342" s="414"/>
      <c r="H342" s="415"/>
      <c r="I342" s="166"/>
      <c r="J342" s="166"/>
      <c r="K342" s="370"/>
      <c r="L342" s="369"/>
      <c r="M342" s="406"/>
      <c r="N342" s="127">
        <f t="shared" si="416"/>
        <v>9944574.1071428563</v>
      </c>
      <c r="O342" s="127">
        <f t="shared" si="416"/>
        <v>11137923</v>
      </c>
      <c r="P342" s="127">
        <f t="shared" si="432"/>
        <v>9944574.1071428563</v>
      </c>
      <c r="Q342" s="127">
        <f>Q341</f>
        <v>11137923</v>
      </c>
      <c r="R342" s="369"/>
      <c r="S342" s="365"/>
      <c r="T342" s="37"/>
      <c r="U342" s="37"/>
      <c r="V342" s="37"/>
      <c r="W342" s="37"/>
      <c r="X342" s="37"/>
      <c r="Y342" s="37"/>
      <c r="Z342" s="126"/>
      <c r="AA342" s="126"/>
      <c r="AB342" s="126"/>
      <c r="AC342" s="126">
        <f>AC341</f>
        <v>0</v>
      </c>
      <c r="AD342" s="125">
        <f t="shared" si="417"/>
        <v>0</v>
      </c>
      <c r="AE342" s="126"/>
      <c r="AF342" s="126">
        <f t="shared" si="418"/>
        <v>0</v>
      </c>
      <c r="AG342" s="126">
        <f t="shared" si="418"/>
        <v>0</v>
      </c>
      <c r="AH342" s="126"/>
      <c r="AI342" s="126"/>
      <c r="AJ342" s="126"/>
      <c r="AK342" s="126"/>
      <c r="AL342" s="126">
        <f>AL341</f>
        <v>0</v>
      </c>
      <c r="AM342" s="125">
        <f t="shared" si="419"/>
        <v>0</v>
      </c>
      <c r="AN342" s="126"/>
      <c r="AO342" s="125">
        <f>AO341</f>
        <v>-13236.533333333335</v>
      </c>
      <c r="AP342" s="125">
        <f>AP341</f>
        <v>-14824.917333333337</v>
      </c>
      <c r="AQ342" s="125"/>
      <c r="AR342" s="128" t="str">
        <f t="shared" si="349"/>
        <v/>
      </c>
      <c r="AS342" s="129"/>
      <c r="AT342" s="129">
        <f>AL342</f>
        <v>0</v>
      </c>
      <c r="AU342" s="129"/>
      <c r="AV342" s="125">
        <f>AL342</f>
        <v>0</v>
      </c>
      <c r="AW342" s="125">
        <f t="shared" si="433"/>
        <v>0</v>
      </c>
      <c r="AX342" s="125"/>
      <c r="AY342" s="125"/>
      <c r="AZ342" s="125"/>
      <c r="BA342" s="125"/>
      <c r="BB342" s="125"/>
      <c r="BC342" s="125"/>
      <c r="BD342" s="125"/>
      <c r="BE342" s="125"/>
      <c r="BF342" s="125"/>
      <c r="BG342" s="125"/>
      <c r="BH342" s="125"/>
      <c r="BI342" s="125"/>
      <c r="BJ342" s="125"/>
      <c r="BK342" s="125"/>
      <c r="BL342" s="125"/>
      <c r="BM342" s="25"/>
      <c r="BN342" s="25"/>
      <c r="BO342" s="25"/>
      <c r="BP342" s="25"/>
      <c r="BQ342" s="25"/>
      <c r="BR342" s="25"/>
      <c r="BS342" s="25"/>
      <c r="BT342" s="25"/>
      <c r="BW342" s="25"/>
      <c r="BX342" s="26"/>
    </row>
    <row r="343" spans="1:76" s="189" customFormat="1" ht="17.25" customHeight="1" x14ac:dyDescent="0.25">
      <c r="A343" s="239"/>
      <c r="B343" s="210"/>
      <c r="C343" s="180"/>
      <c r="D343" s="180"/>
      <c r="E343" s="240">
        <f>E345+E348+E351+E354+E357+E360+E363+E366+E369+E372+E375+E378+E381+E384+E387+E390+E393+E396+E399+E402+E405+E408</f>
        <v>29377037</v>
      </c>
      <c r="F343" s="240">
        <f>F345+F348+F351+F354+F357+F360+F363+F366+F369+F372+F375+F378+F381+F384+F387+F390+F393+F396+F399+F402+F405+F408</f>
        <v>32902281.440000005</v>
      </c>
      <c r="G343" s="241"/>
      <c r="H343" s="240">
        <f>H345+H348+H351+H354+H357+H360+H363+H366+H369+H372+H375+H378+H381+H384+H387+H390+H393+H396+H399+H402+H405+H408</f>
        <v>2100</v>
      </c>
      <c r="I343" s="240">
        <f>I345+I348+I351+I354+I357+I360+I363+I366+I369+I372+I375+I378+I381+I384+I387+I390+I393+I396+I399+I402+I405+I408</f>
        <v>15089202</v>
      </c>
      <c r="J343" s="240">
        <f>J345+J348+J351+J354+J357+J360+J363+J366+J369+J372+J375+J378+J381+J384+J387+J390+J393+J396+J399+J402+J405+J408</f>
        <v>16899906.240000002</v>
      </c>
      <c r="K343" s="407" t="s">
        <v>168</v>
      </c>
      <c r="L343" s="408"/>
      <c r="M343" s="411"/>
      <c r="N343" s="242">
        <f>N345+N348+N351+N354+N357+N360+N363+N366+N369+N372+N375+N378+N381+N384+N387+N390+N393+N396+N399+N402+N405+N408</f>
        <v>13749917146.381428</v>
      </c>
      <c r="O343" s="242">
        <f t="shared" ref="O343:Q344" si="434">O345+O348+O351+O354+O357+O360+O363+O366+O369+O372+O375+O378+O381+O384+O387+O390+O393+O396+O399+O402+O405+O408</f>
        <v>15367077491.019995</v>
      </c>
      <c r="P343" s="242">
        <f t="shared" si="434"/>
        <v>14923579389.421429</v>
      </c>
      <c r="Q343" s="242">
        <f t="shared" si="434"/>
        <v>16540739734.059996</v>
      </c>
      <c r="R343" s="210"/>
      <c r="S343" s="413">
        <f>S345+S348+S351+S354+S357+S360+S363+S366+S369+S372+S375+S378+S381+S384+S387+S390+S393+S396+S399+S402+S405+S408</f>
        <v>6771</v>
      </c>
      <c r="T343" s="240">
        <f>T345+T348+T351+T354+T357+T360+T363+T366+T369+T372+T375+T378+T381+T384+T387+T390+T393+T396+T399+T402+T405+T408</f>
        <v>0</v>
      </c>
      <c r="U343" s="240">
        <f>U345+U348+U351+U354+U357+U360+U363+U366+U369+U372+U375+U378+U381+U384+U387+U390+U393+U396+U399+U402+U405+U408</f>
        <v>0</v>
      </c>
      <c r="V343" s="240">
        <f>V345+V348+V351+V354+V357+V360+V363+V366+V369+V372+V375+V378+V381+V384+V387+V390+V393+V396+V399+V402+V405+V408</f>
        <v>0</v>
      </c>
      <c r="W343" s="240">
        <f t="shared" ref="W343:AN344" si="435">W345+W348+W351+W354+W357+W360+W363+W366+W369+W372+W375+W378+W381+W384+W387+W390+W393+W396+W399+W402+W405+W408</f>
        <v>0</v>
      </c>
      <c r="X343" s="240">
        <f t="shared" si="435"/>
        <v>0</v>
      </c>
      <c r="Y343" s="240">
        <f t="shared" si="435"/>
        <v>0</v>
      </c>
      <c r="Z343" s="240">
        <f t="shared" si="435"/>
        <v>0</v>
      </c>
      <c r="AA343" s="240">
        <f t="shared" si="435"/>
        <v>0</v>
      </c>
      <c r="AB343" s="240">
        <f t="shared" si="435"/>
        <v>0</v>
      </c>
      <c r="AC343" s="240">
        <f t="shared" si="435"/>
        <v>9382980</v>
      </c>
      <c r="AD343" s="240">
        <f t="shared" si="435"/>
        <v>10508937.6</v>
      </c>
      <c r="AE343" s="240">
        <f t="shared" si="435"/>
        <v>3390</v>
      </c>
      <c r="AF343" s="240">
        <f t="shared" si="435"/>
        <v>9382980</v>
      </c>
      <c r="AG343" s="240">
        <f t="shared" si="435"/>
        <v>10508937.6</v>
      </c>
      <c r="AH343" s="240">
        <f t="shared" si="435"/>
        <v>3390</v>
      </c>
      <c r="AI343" s="240">
        <f t="shared" si="435"/>
        <v>15089202</v>
      </c>
      <c r="AJ343" s="240">
        <f t="shared" si="435"/>
        <v>16899906.240000002</v>
      </c>
      <c r="AK343" s="240">
        <f t="shared" si="435"/>
        <v>2100</v>
      </c>
      <c r="AL343" s="240">
        <f t="shared" si="435"/>
        <v>6773855</v>
      </c>
      <c r="AM343" s="240">
        <f t="shared" si="435"/>
        <v>7586717.6000000015</v>
      </c>
      <c r="AN343" s="240">
        <f t="shared" si="435"/>
        <v>2100</v>
      </c>
      <c r="AO343" s="240">
        <f>AO345+AO348+AO351+AO354+AO357+AO360+AO363+AO366+AO369+AO372+AO375+AO378+AO381+AO384+AO387+AO390+AO393+AO396+AO399+AO402+AO405+AO408</f>
        <v>-8315347.0000000019</v>
      </c>
      <c r="AP343" s="240">
        <f t="shared" ref="AP343:AQ343" si="436">AP345+AP348+AP351+AP354+AP357+AP360+AP363+AP366+AP369+AP372+AP375+AP378+AP381+AP384+AP387+AP390+AP393+AP396+AP399+AP402+AP405+AP408</f>
        <v>-9313188.6400000006</v>
      </c>
      <c r="AQ343" s="240">
        <f t="shared" si="436"/>
        <v>0</v>
      </c>
      <c r="AR343" s="185">
        <f>IF(AI343=0,"",AL343/AI343)</f>
        <v>0.44892069176355381</v>
      </c>
      <c r="AS343" s="240">
        <f t="shared" ref="AS343:BL344" si="437">AS345+AS348+AS351+AS354+AS357+AS360+AS363+AS366+AS369+AS372+AS375+AS378+AS381+AS384+AS387+AS390+AS393+AS396+AS399+AS402+AS405+AS408</f>
        <v>0</v>
      </c>
      <c r="AT343" s="240">
        <f t="shared" si="437"/>
        <v>0</v>
      </c>
      <c r="AU343" s="240">
        <f t="shared" si="437"/>
        <v>0</v>
      </c>
      <c r="AV343" s="240">
        <f t="shared" si="437"/>
        <v>13279602.265714286</v>
      </c>
      <c r="AW343" s="240">
        <f t="shared" si="437"/>
        <v>14873154.537600001</v>
      </c>
      <c r="AX343" s="240">
        <f t="shared" si="437"/>
        <v>4471</v>
      </c>
      <c r="AY343" s="240">
        <f t="shared" si="437"/>
        <v>0</v>
      </c>
      <c r="AZ343" s="240">
        <f>AZ345+AZ348+AZ351+AZ354+AZ357+AZ360+AZ363+AZ366+AZ369+AZ372+AZ375+AZ378+AZ381+AZ384+AZ387+AZ390+AZ393+AZ396+AZ399+AZ402+AZ405+AZ408</f>
        <v>-8315347.0000000019</v>
      </c>
      <c r="BA343" s="240">
        <f t="shared" si="437"/>
        <v>0</v>
      </c>
      <c r="BB343" s="240">
        <f t="shared" si="437"/>
        <v>0</v>
      </c>
      <c r="BC343" s="240">
        <f t="shared" si="437"/>
        <v>0</v>
      </c>
      <c r="BD343" s="240">
        <f t="shared" si="437"/>
        <v>0</v>
      </c>
      <c r="BE343" s="240">
        <f t="shared" si="437"/>
        <v>0</v>
      </c>
      <c r="BF343" s="240">
        <f t="shared" si="437"/>
        <v>0</v>
      </c>
      <c r="BG343" s="240">
        <f t="shared" si="437"/>
        <v>0</v>
      </c>
      <c r="BH343" s="240">
        <f t="shared" si="437"/>
        <v>0</v>
      </c>
      <c r="BI343" s="240">
        <f t="shared" si="437"/>
        <v>0</v>
      </c>
      <c r="BJ343" s="240">
        <f t="shared" si="437"/>
        <v>0</v>
      </c>
      <c r="BK343" s="240">
        <f t="shared" si="437"/>
        <v>0</v>
      </c>
      <c r="BL343" s="240">
        <f t="shared" si="437"/>
        <v>0</v>
      </c>
      <c r="BM343" s="181" t="s">
        <v>103</v>
      </c>
      <c r="BN343" s="181"/>
      <c r="BO343" s="243" t="e">
        <f>#REF!+#REF!+#REF!+#REF!+#REF!+#REF!+#REF!+#REF!+#REF!+#REF!+#REF!+#REF!+#REF!+#REF!+#REF!+#REF!+#REF!+#REF!+#REF!+#REF!+BO345+BO348+BO351+BO354+BO357+BO360+BO363+BO366+BO369+BO372+BO375+#REF!+#REF!+#REF!+#REF!</f>
        <v>#REF!</v>
      </c>
      <c r="BP343" s="243" t="e">
        <f>#REF!+#REF!+#REF!+#REF!+#REF!+#REF!+#REF!+#REF!+#REF!+#REF!+#REF!+#REF!+#REF!+#REF!+#REF!+#REF!+#REF!+#REF!+#REF!+#REF!+BP345+BP348+BP351+BP354+BP357+BP360+BP363+BP366+BP369+BP372+BP375+#REF!+#REF!+#REF!+#REF!</f>
        <v>#REF!</v>
      </c>
      <c r="BQ343" s="243" t="e">
        <f>#REF!+#REF!+#REF!+#REF!+#REF!+#REF!+#REF!+#REF!+#REF!+#REF!+#REF!+#REF!+#REF!+#REF!+#REF!+#REF!+#REF!+#REF!+#REF!+#REF!+BQ345+BQ348+BQ351+BQ354+BQ357+BQ360+BQ363+BQ366+BQ369+BQ372+BQ375+#REF!+#REF!+#REF!+#REF!</f>
        <v>#REF!</v>
      </c>
      <c r="BR343" s="181"/>
      <c r="BS343" s="181"/>
      <c r="BT343" s="181"/>
      <c r="BW343" s="244">
        <f>SUM(AY343:BL343)</f>
        <v>-8315347.0000000019</v>
      </c>
      <c r="BX343" s="245">
        <f>AO343-BW343</f>
        <v>0</v>
      </c>
    </row>
    <row r="344" spans="1:76" s="189" customFormat="1" ht="17.25" customHeight="1" x14ac:dyDescent="0.25">
      <c r="A344" s="239"/>
      <c r="B344" s="210"/>
      <c r="C344" s="180"/>
      <c r="D344" s="180"/>
      <c r="E344" s="240">
        <f>E346+E349+E352+E355+E358+E361+E364+E367+E370+E373+E376+E379+E382+E385+E388+E391+E394+E397+E400+E403+E406+E409</f>
        <v>29247832</v>
      </c>
      <c r="F344" s="240">
        <f>F346+F349+F352+F355+F358+F361+F364+F367+F370+F373+F376+F379+F382+F385+F388+F391+F394+F397+F400+F403+F406+F409</f>
        <v>32757571.840000004</v>
      </c>
      <c r="G344" s="241"/>
      <c r="H344" s="240"/>
      <c r="I344" s="240">
        <f>I346+I349+I352+I355+I358+I361+I364+I367+I370+I373+I376+I379+I382+I385+I388+I391+I394+I397+I400+I403+I406+I409</f>
        <v>14177669.5</v>
      </c>
      <c r="J344" s="240">
        <f>J346+J349+J352+J355+J358+J361+J364+J367+J370+J373+J376+J379+J382+J385+J388+J391+J394+J397+J400+J403+J406+J409</f>
        <v>15878989.840000002</v>
      </c>
      <c r="K344" s="409"/>
      <c r="L344" s="410"/>
      <c r="M344" s="412"/>
      <c r="N344" s="242">
        <f>N346+N349+N352+N355+N358+N361+N364+N367+N370+N373+N376+N379+N382+N385+N388+N391+N394+N397+N400+N403+N406+N409</f>
        <v>13749917146.381428</v>
      </c>
      <c r="O344" s="242">
        <f t="shared" si="434"/>
        <v>15367077491.019995</v>
      </c>
      <c r="P344" s="242">
        <f t="shared" si="434"/>
        <v>14923579389.421429</v>
      </c>
      <c r="Q344" s="242">
        <f t="shared" si="434"/>
        <v>16540739734.059996</v>
      </c>
      <c r="R344" s="246"/>
      <c r="S344" s="413"/>
      <c r="T344" s="240">
        <f>T346+T349+T352+T355+T358+T361+T364+T367+T370+T373+T376+T379+T382+T385+T388+T391+T394+T397+T400+T403+T406+T409</f>
        <v>0</v>
      </c>
      <c r="U344" s="240">
        <f>U346+U349+U352+U355+U358+U361+U364+U367+U370+U373+U376+U379+U382+U385+U388+U391+U394+U397+U400+U403+U406+U409</f>
        <v>0</v>
      </c>
      <c r="V344" s="240"/>
      <c r="W344" s="240">
        <f t="shared" si="435"/>
        <v>0</v>
      </c>
      <c r="X344" s="240">
        <f t="shared" si="435"/>
        <v>0</v>
      </c>
      <c r="Y344" s="240"/>
      <c r="Z344" s="240">
        <f t="shared" si="435"/>
        <v>0</v>
      </c>
      <c r="AA344" s="240">
        <f t="shared" si="435"/>
        <v>0</v>
      </c>
      <c r="AB344" s="240"/>
      <c r="AC344" s="240">
        <f t="shared" si="435"/>
        <v>6697731.5327324998</v>
      </c>
      <c r="AD344" s="240">
        <f t="shared" si="435"/>
        <v>7322802.2683799993</v>
      </c>
      <c r="AE344" s="240"/>
      <c r="AF344" s="240">
        <f t="shared" si="435"/>
        <v>6697731.5327324998</v>
      </c>
      <c r="AG344" s="240">
        <f t="shared" si="435"/>
        <v>7322802.2683799993</v>
      </c>
      <c r="AH344" s="240"/>
      <c r="AI344" s="240">
        <f t="shared" si="435"/>
        <v>14177669.394258929</v>
      </c>
      <c r="AJ344" s="240">
        <f t="shared" si="435"/>
        <v>15878989.721570002</v>
      </c>
      <c r="AK344" s="240"/>
      <c r="AL344" s="240">
        <f t="shared" si="435"/>
        <v>5216246.0086696418</v>
      </c>
      <c r="AM344" s="240">
        <f t="shared" si="435"/>
        <v>5842195.5297099985</v>
      </c>
      <c r="AN344" s="240"/>
      <c r="AO344" s="240">
        <f t="shared" ref="AO344:AP344" si="438">AO346+AO349+AO352+AO355+AO358+AO361+AO364+AO367+AO370+AO373+AO376+AO379+AO382+AO385+AO388+AO391+AO394+AO397+AO400+AO403+AO406+AO409</f>
        <v>-8961423.3855892867</v>
      </c>
      <c r="AP344" s="240">
        <f t="shared" si="438"/>
        <v>-10036794.191860002</v>
      </c>
      <c r="AQ344" s="240"/>
      <c r="AR344" s="185">
        <f>IF(AI344=0,"",AL344/AI344)</f>
        <v>0.36791985083118778</v>
      </c>
      <c r="AS344" s="240">
        <f t="shared" si="437"/>
        <v>930862.49425892858</v>
      </c>
      <c r="AT344" s="240">
        <f t="shared" si="437"/>
        <v>4285383.5144107137</v>
      </c>
      <c r="AU344" s="240">
        <f t="shared" si="437"/>
        <v>0</v>
      </c>
      <c r="AV344" s="240">
        <f t="shared" si="437"/>
        <v>12786119.854830354</v>
      </c>
      <c r="AW344" s="240">
        <f t="shared" si="437"/>
        <v>14320454.237410001</v>
      </c>
      <c r="AX344" s="240"/>
      <c r="AY344" s="240">
        <f t="shared" si="437"/>
        <v>0</v>
      </c>
      <c r="AZ344" s="240">
        <f t="shared" si="437"/>
        <v>0</v>
      </c>
      <c r="BA344" s="240">
        <f t="shared" si="437"/>
        <v>0</v>
      </c>
      <c r="BB344" s="240">
        <f t="shared" si="437"/>
        <v>0</v>
      </c>
      <c r="BC344" s="240">
        <f t="shared" si="437"/>
        <v>0</v>
      </c>
      <c r="BD344" s="240">
        <f t="shared" si="437"/>
        <v>0</v>
      </c>
      <c r="BE344" s="240">
        <f t="shared" si="437"/>
        <v>0</v>
      </c>
      <c r="BF344" s="240">
        <f t="shared" si="437"/>
        <v>0</v>
      </c>
      <c r="BG344" s="240">
        <f t="shared" si="437"/>
        <v>0</v>
      </c>
      <c r="BH344" s="240">
        <f t="shared" si="437"/>
        <v>0</v>
      </c>
      <c r="BI344" s="240">
        <f t="shared" si="437"/>
        <v>0</v>
      </c>
      <c r="BJ344" s="240">
        <f t="shared" si="437"/>
        <v>0</v>
      </c>
      <c r="BK344" s="240">
        <f t="shared" si="437"/>
        <v>0</v>
      </c>
      <c r="BL344" s="240">
        <f t="shared" si="437"/>
        <v>0</v>
      </c>
      <c r="BM344" s="181"/>
      <c r="BN344" s="181"/>
      <c r="BO344" s="243" t="e">
        <f>#REF!+#REF!+#REF!+#REF!+#REF!+#REF!+#REF!+#REF!+#REF!+#REF!+#REF!+#REF!+#REF!+#REF!+#REF!+#REF!+#REF!+#REF!+#REF!+#REF!+BO346+BO349+BO352+BO355+BO358+BO361+BO364+BO367+BO370+BO373+BO376+#REF!+#REF!+#REF!+#REF!</f>
        <v>#REF!</v>
      </c>
      <c r="BP344" s="243" t="e">
        <f>#REF!+#REF!+#REF!+#REF!+#REF!+#REF!+#REF!+#REF!+#REF!+#REF!+#REF!+#REF!+#REF!+#REF!+#REF!+#REF!+#REF!+#REF!+#REF!+#REF!+BP346+BP349+BP352+BP355+BP358+BP361+BP364+BP367+BP370+BP373+BP376+#REF!+#REF!+#REF!+#REF!</f>
        <v>#REF!</v>
      </c>
      <c r="BQ344" s="243" t="e">
        <f>#REF!+#REF!+#REF!+#REF!+#REF!+#REF!+#REF!+#REF!+#REF!+#REF!+#REF!+#REF!+#REF!+#REF!+#REF!+#REF!+#REF!+#REF!+#REF!+#REF!+BQ346+BQ349+BQ352+BQ355+BQ358+BQ361+BQ364+BQ367+BQ370+BQ373+BQ376+#REF!+#REF!+#REF!+#REF!</f>
        <v>#REF!</v>
      </c>
      <c r="BR344" s="181"/>
      <c r="BS344" s="181"/>
      <c r="BT344" s="181"/>
      <c r="BW344" s="181"/>
      <c r="BX344" s="190"/>
    </row>
    <row r="345" spans="1:76" s="204" customFormat="1" x14ac:dyDescent="0.25">
      <c r="A345" s="368"/>
      <c r="B345" s="369" t="s">
        <v>169</v>
      </c>
      <c r="C345" s="193" t="s">
        <v>69</v>
      </c>
      <c r="D345" s="193" t="s">
        <v>70</v>
      </c>
      <c r="E345" s="194">
        <v>14287835</v>
      </c>
      <c r="F345" s="194">
        <f t="shared" ref="F345:F408" si="439">E345*1.12</f>
        <v>16002375.200000001</v>
      </c>
      <c r="G345" s="402">
        <v>1818</v>
      </c>
      <c r="H345" s="404"/>
      <c r="I345" s="195"/>
      <c r="J345" s="195">
        <f>I345*1.12</f>
        <v>0</v>
      </c>
      <c r="K345" s="388" t="s">
        <v>115</v>
      </c>
      <c r="L345" s="391" t="s">
        <v>170</v>
      </c>
      <c r="M345" s="372" t="s">
        <v>96</v>
      </c>
      <c r="N345" s="196">
        <f t="shared" ref="N345:O374" si="440">P345</f>
        <v>810325035.27678561</v>
      </c>
      <c r="O345" s="196">
        <f t="shared" si="440"/>
        <v>907564039.50999999</v>
      </c>
      <c r="P345" s="196">
        <f t="shared" ref="P345:P374" si="441">Q345/1.12</f>
        <v>810325035.27678561</v>
      </c>
      <c r="Q345" s="247">
        <v>907564039.50999999</v>
      </c>
      <c r="R345" s="353" t="s">
        <v>171</v>
      </c>
      <c r="S345" s="376">
        <v>344</v>
      </c>
      <c r="T345" s="198"/>
      <c r="U345" s="198"/>
      <c r="V345" s="198"/>
      <c r="W345" s="198"/>
      <c r="X345" s="198"/>
      <c r="Y345" s="198"/>
      <c r="Z345" s="198"/>
      <c r="AA345" s="198"/>
      <c r="AB345" s="198"/>
      <c r="AC345" s="198">
        <v>869499</v>
      </c>
      <c r="AD345" s="199">
        <f t="shared" ref="AD345" si="442">AC345*1.12</f>
        <v>973838.88000000012</v>
      </c>
      <c r="AE345" s="198">
        <f>60+60+64+55+53+52</f>
        <v>344</v>
      </c>
      <c r="AF345" s="198">
        <f>Z345+AC345+W345+T345</f>
        <v>869499</v>
      </c>
      <c r="AG345" s="198">
        <f>AA345+AD345+X345+U345</f>
        <v>973838.88000000012</v>
      </c>
      <c r="AH345" s="198">
        <f>AB345+AE345+Y345+V345</f>
        <v>344</v>
      </c>
      <c r="AI345" s="198"/>
      <c r="AJ345" s="198">
        <f>AI345*1.12</f>
        <v>0</v>
      </c>
      <c r="AK345" s="198"/>
      <c r="AL345" s="198"/>
      <c r="AM345" s="199">
        <f t="shared" ref="AM345" si="443">AL345*1.12</f>
        <v>0</v>
      </c>
      <c r="AN345" s="198"/>
      <c r="AO345" s="199"/>
      <c r="AP345" s="199"/>
      <c r="AQ345" s="199"/>
      <c r="AR345" s="200"/>
      <c r="AS345" s="201"/>
      <c r="AT345" s="201"/>
      <c r="AU345" s="201"/>
      <c r="AV345" s="199">
        <f>P345/1000+AZ345</f>
        <v>810325.03527678561</v>
      </c>
      <c r="AW345" s="199">
        <f t="shared" ref="AW345:AW408" si="444">AV345*1.12</f>
        <v>907564.03950999992</v>
      </c>
      <c r="AX345" s="199">
        <f>S345</f>
        <v>344</v>
      </c>
      <c r="AY345" s="199"/>
      <c r="AZ345" s="199"/>
      <c r="BA345" s="199"/>
      <c r="BB345" s="199"/>
      <c r="BC345" s="199"/>
      <c r="BD345" s="199"/>
      <c r="BE345" s="199"/>
      <c r="BF345" s="199"/>
      <c r="BG345" s="199"/>
      <c r="BH345" s="199"/>
      <c r="BI345" s="199"/>
      <c r="BJ345" s="199"/>
      <c r="BK345" s="199"/>
      <c r="BL345" s="199"/>
      <c r="BM345" s="202"/>
      <c r="BN345" s="202"/>
      <c r="BO345" s="202"/>
      <c r="BP345" s="202"/>
      <c r="BQ345" s="202"/>
      <c r="BR345" s="202"/>
      <c r="BS345" s="202"/>
      <c r="BT345" s="202"/>
      <c r="BW345" s="385">
        <f>SUM(AY345:BL377)</f>
        <v>0</v>
      </c>
      <c r="BX345" s="387">
        <f>BW345-(AO345+AO348+AO351+AO354+AO357+AO360+AO363+AO366+AO369+AO372+AO375)</f>
        <v>0</v>
      </c>
    </row>
    <row r="346" spans="1:76" s="97" customFormat="1" x14ac:dyDescent="0.25">
      <c r="A346" s="368"/>
      <c r="B346" s="369"/>
      <c r="C346" s="117" t="s">
        <v>71</v>
      </c>
      <c r="D346" s="117" t="s">
        <v>72</v>
      </c>
      <c r="E346" s="163">
        <v>14158630</v>
      </c>
      <c r="F346" s="163">
        <f t="shared" si="439"/>
        <v>15857665.600000001</v>
      </c>
      <c r="G346" s="403"/>
      <c r="H346" s="405"/>
      <c r="I346" s="163">
        <f>35378/1.12+94846/1.12+52265/1.12+484092/1.12+69000/1.12+306985/1.12</f>
        <v>930862.49999999988</v>
      </c>
      <c r="J346" s="161">
        <f t="shared" ref="J346" si="445">I346*1.12</f>
        <v>1042566</v>
      </c>
      <c r="K346" s="389"/>
      <c r="L346" s="392"/>
      <c r="M346" s="373"/>
      <c r="N346" s="127">
        <f t="shared" si="440"/>
        <v>810325035.27678561</v>
      </c>
      <c r="O346" s="127">
        <f t="shared" si="440"/>
        <v>907564039.50999999</v>
      </c>
      <c r="P346" s="120">
        <f t="shared" si="441"/>
        <v>810325035.27678561</v>
      </c>
      <c r="Q346" s="162">
        <f>Q345</f>
        <v>907564039.50999999</v>
      </c>
      <c r="R346" s="375"/>
      <c r="S346" s="377"/>
      <c r="T346" s="119"/>
      <c r="U346" s="119"/>
      <c r="V346" s="119"/>
      <c r="W346" s="119"/>
      <c r="X346" s="119"/>
      <c r="Y346" s="119"/>
      <c r="Z346" s="119"/>
      <c r="AA346" s="119"/>
      <c r="AB346" s="119"/>
      <c r="AC346" s="119">
        <f>AC347</f>
        <v>490511.79060714284</v>
      </c>
      <c r="AD346" s="118">
        <f>AC346*1.12</f>
        <v>549373.20548</v>
      </c>
      <c r="AE346" s="119"/>
      <c r="AF346" s="119">
        <f>AC346+Z346+W346+T346</f>
        <v>490511.79060714284</v>
      </c>
      <c r="AG346" s="119">
        <f>AD346+AA346+X346+U346</f>
        <v>549373.20548</v>
      </c>
      <c r="AH346" s="119"/>
      <c r="AI346" s="163"/>
      <c r="AJ346" s="119">
        <f>AI346*1.12</f>
        <v>0</v>
      </c>
      <c r="AK346" s="119"/>
      <c r="AL346" s="119">
        <f>AL347</f>
        <v>0</v>
      </c>
      <c r="AM346" s="118">
        <f>AL346*1.12</f>
        <v>0</v>
      </c>
      <c r="AN346" s="119"/>
      <c r="AO346" s="118">
        <f>AL346-AI346</f>
        <v>0</v>
      </c>
      <c r="AP346" s="118">
        <f>AO346*1.12</f>
        <v>0</v>
      </c>
      <c r="AQ346" s="118"/>
      <c r="AR346" s="121"/>
      <c r="AS346" s="122">
        <f>AL346</f>
        <v>0</v>
      </c>
      <c r="AT346" s="122"/>
      <c r="AU346" s="122"/>
      <c r="AV346" s="118">
        <f>AV345</f>
        <v>810325.03527678561</v>
      </c>
      <c r="AW346" s="118">
        <f t="shared" si="444"/>
        <v>907564.03950999992</v>
      </c>
      <c r="AX346" s="118"/>
      <c r="AY346" s="118"/>
      <c r="AZ346" s="118"/>
      <c r="BA346" s="118"/>
      <c r="BB346" s="118"/>
      <c r="BC346" s="118"/>
      <c r="BD346" s="118"/>
      <c r="BE346" s="118"/>
      <c r="BF346" s="118"/>
      <c r="BG346" s="118"/>
      <c r="BH346" s="118"/>
      <c r="BI346" s="118"/>
      <c r="BJ346" s="118"/>
      <c r="BK346" s="118"/>
      <c r="BL346" s="118"/>
      <c r="BM346" s="100"/>
      <c r="BN346" s="100"/>
      <c r="BO346" s="248">
        <f>BO347</f>
        <v>11865.687809999999</v>
      </c>
      <c r="BP346" s="248">
        <f>BP347</f>
        <v>171406.79699999999</v>
      </c>
      <c r="BQ346" s="100">
        <f>BQ347</f>
        <v>38.474249999999998</v>
      </c>
      <c r="BR346" s="100"/>
      <c r="BS346" s="100"/>
      <c r="BT346" s="100"/>
      <c r="BW346" s="386"/>
      <c r="BX346" s="386"/>
    </row>
    <row r="347" spans="1:76" x14ac:dyDescent="0.25">
      <c r="A347" s="368"/>
      <c r="B347" s="369"/>
      <c r="C347" s="124" t="s">
        <v>71</v>
      </c>
      <c r="D347" s="124" t="s">
        <v>73</v>
      </c>
      <c r="E347" s="167">
        <f>E346</f>
        <v>14158630</v>
      </c>
      <c r="F347" s="167">
        <f t="shared" si="439"/>
        <v>15857665.600000001</v>
      </c>
      <c r="G347" s="403"/>
      <c r="H347" s="405"/>
      <c r="I347" s="166">
        <f>I346</f>
        <v>930862.49999999988</v>
      </c>
      <c r="J347" s="166">
        <f>I347*1.12</f>
        <v>1042566</v>
      </c>
      <c r="K347" s="390"/>
      <c r="L347" s="393"/>
      <c r="M347" s="374"/>
      <c r="N347" s="127">
        <f t="shared" si="440"/>
        <v>810325035.27678561</v>
      </c>
      <c r="O347" s="127">
        <f t="shared" si="440"/>
        <v>907564039.50999999</v>
      </c>
      <c r="P347" s="127">
        <f t="shared" si="441"/>
        <v>810325035.27678561</v>
      </c>
      <c r="Q347" s="232">
        <f>Q346</f>
        <v>907564039.50999999</v>
      </c>
      <c r="R347" s="354"/>
      <c r="S347" s="378"/>
      <c r="T347" s="126"/>
      <c r="U347" s="126"/>
      <c r="V347" s="126"/>
      <c r="W347" s="126"/>
      <c r="X347" s="126"/>
      <c r="Y347" s="126"/>
      <c r="Z347" s="126"/>
      <c r="AA347" s="126"/>
      <c r="AB347" s="126"/>
      <c r="AC347" s="249">
        <f>157639.18602/1.12+109307.6528/1.12+77196.07179/1.12+115303.47616/1.12+89926.81871/1.12</f>
        <v>490511.79060714284</v>
      </c>
      <c r="AD347" s="167">
        <f>AC347*1.12</f>
        <v>549373.20548</v>
      </c>
      <c r="AE347" s="126"/>
      <c r="AF347" s="126">
        <f>AC347+Z347+W347+T347</f>
        <v>490511.79060714284</v>
      </c>
      <c r="AG347" s="126">
        <f>AD347+AA347+X347+U347</f>
        <v>549373.20548</v>
      </c>
      <c r="AH347" s="126"/>
      <c r="AI347" s="126">
        <f>AI346</f>
        <v>0</v>
      </c>
      <c r="AJ347" s="126">
        <f>AI347*1.12</f>
        <v>0</v>
      </c>
      <c r="AK347" s="126"/>
      <c r="AL347" s="126"/>
      <c r="AM347" s="167">
        <f>AL347*1.12</f>
        <v>0</v>
      </c>
      <c r="AN347" s="126"/>
      <c r="AO347" s="125">
        <f>AO346</f>
        <v>0</v>
      </c>
      <c r="AP347" s="125">
        <f>AP346</f>
        <v>0</v>
      </c>
      <c r="AQ347" s="125"/>
      <c r="AR347" s="128"/>
      <c r="AS347" s="129">
        <f>AL347</f>
        <v>0</v>
      </c>
      <c r="AT347" s="129"/>
      <c r="AU347" s="129"/>
      <c r="AV347" s="125">
        <f>AV346</f>
        <v>810325.03527678561</v>
      </c>
      <c r="AW347" s="125">
        <f t="shared" si="444"/>
        <v>907564.03950999992</v>
      </c>
      <c r="AX347" s="125"/>
      <c r="AY347" s="125"/>
      <c r="AZ347" s="125"/>
      <c r="BA347" s="125"/>
      <c r="BB347" s="125"/>
      <c r="BC347" s="125"/>
      <c r="BD347" s="125"/>
      <c r="BE347" s="125"/>
      <c r="BF347" s="118"/>
      <c r="BG347" s="125"/>
      <c r="BH347" s="125"/>
      <c r="BI347" s="125"/>
      <c r="BJ347" s="125"/>
      <c r="BK347" s="125"/>
      <c r="BL347" s="125"/>
      <c r="BM347" s="25"/>
      <c r="BN347" s="25"/>
      <c r="BO347" s="250">
        <f>5286144.43/1000+6579543.38/1000</f>
        <v>11865.687809999999</v>
      </c>
      <c r="BP347" s="250">
        <f>171406797/1000</f>
        <v>171406.79699999999</v>
      </c>
      <c r="BQ347" s="26">
        <f>38474.25/1000</f>
        <v>38.474249999999998</v>
      </c>
      <c r="BR347" s="25"/>
      <c r="BS347" s="25"/>
      <c r="BT347" s="25"/>
      <c r="BW347" s="386"/>
      <c r="BX347" s="386"/>
    </row>
    <row r="348" spans="1:76" x14ac:dyDescent="0.25">
      <c r="A348" s="368"/>
      <c r="B348" s="369"/>
      <c r="C348" s="193" t="s">
        <v>69</v>
      </c>
      <c r="D348" s="193" t="s">
        <v>70</v>
      </c>
      <c r="E348" s="194"/>
      <c r="F348" s="194">
        <f t="shared" si="439"/>
        <v>0</v>
      </c>
      <c r="G348" s="403"/>
      <c r="H348" s="405"/>
      <c r="I348" s="195"/>
      <c r="J348" s="195">
        <f>I348*1.12</f>
        <v>0</v>
      </c>
      <c r="K348" s="388" t="s">
        <v>138</v>
      </c>
      <c r="L348" s="388" t="s">
        <v>172</v>
      </c>
      <c r="M348" s="372" t="s">
        <v>96</v>
      </c>
      <c r="N348" s="196">
        <f t="shared" si="440"/>
        <v>485252782.7589286</v>
      </c>
      <c r="O348" s="196">
        <f t="shared" si="440"/>
        <v>543483116.69000006</v>
      </c>
      <c r="P348" s="196">
        <f t="shared" si="441"/>
        <v>485252782.7589286</v>
      </c>
      <c r="Q348" s="247">
        <v>543483116.69000006</v>
      </c>
      <c r="R348" s="353" t="s">
        <v>171</v>
      </c>
      <c r="S348" s="376">
        <v>206</v>
      </c>
      <c r="T348" s="198"/>
      <c r="U348" s="198"/>
      <c r="V348" s="198"/>
      <c r="W348" s="198"/>
      <c r="X348" s="198"/>
      <c r="Y348" s="198"/>
      <c r="Z348" s="198"/>
      <c r="AA348" s="198"/>
      <c r="AB348" s="198"/>
      <c r="AC348" s="198">
        <f>582152</f>
        <v>582152</v>
      </c>
      <c r="AD348" s="199">
        <f t="shared" ref="AD348:AD357" si="446">AC348*1.12</f>
        <v>652010.24000000011</v>
      </c>
      <c r="AE348" s="198">
        <f>35+35+35+31+31+39</f>
        <v>206</v>
      </c>
      <c r="AF348" s="198">
        <f>Z348+AC348+W348+T348</f>
        <v>582152</v>
      </c>
      <c r="AG348" s="198">
        <f>AA348+AD348+X348+U348</f>
        <v>652010.24000000011</v>
      </c>
      <c r="AH348" s="198">
        <f>AB348+AE348+Y348+V348</f>
        <v>206</v>
      </c>
      <c r="AI348" s="198"/>
      <c r="AJ348" s="198"/>
      <c r="AK348" s="198"/>
      <c r="AL348" s="198"/>
      <c r="AM348" s="199">
        <f t="shared" ref="AM348:AM375" si="447">AL348*1.12</f>
        <v>0</v>
      </c>
      <c r="AN348" s="198"/>
      <c r="AO348" s="199"/>
      <c r="AP348" s="199"/>
      <c r="AQ348" s="199"/>
      <c r="AR348" s="200"/>
      <c r="AS348" s="201"/>
      <c r="AT348" s="201"/>
      <c r="AU348" s="201"/>
      <c r="AV348" s="199">
        <f>P348/1000+AZ348</f>
        <v>485252.7827589286</v>
      </c>
      <c r="AW348" s="199">
        <f t="shared" si="444"/>
        <v>543483.11669000005</v>
      </c>
      <c r="AX348" s="199">
        <f>S348</f>
        <v>206</v>
      </c>
      <c r="AY348" s="199"/>
      <c r="AZ348" s="199"/>
      <c r="BA348" s="199"/>
      <c r="BB348" s="199"/>
      <c r="BC348" s="199"/>
      <c r="BD348" s="199"/>
      <c r="BE348" s="199"/>
      <c r="BF348" s="199"/>
      <c r="BG348" s="199"/>
      <c r="BH348" s="199"/>
      <c r="BI348" s="199"/>
      <c r="BJ348" s="199"/>
      <c r="BK348" s="199"/>
      <c r="BL348" s="199"/>
      <c r="BM348" s="202"/>
      <c r="BN348" s="202"/>
      <c r="BO348" s="202"/>
      <c r="BP348" s="202"/>
      <c r="BQ348" s="202"/>
      <c r="BR348" s="202"/>
      <c r="BS348" s="202"/>
      <c r="BT348" s="202"/>
      <c r="BU348" s="204"/>
      <c r="BV348" s="204"/>
      <c r="BW348" s="386"/>
      <c r="BX348" s="386"/>
    </row>
    <row r="349" spans="1:76" x14ac:dyDescent="0.25">
      <c r="A349" s="368"/>
      <c r="B349" s="369"/>
      <c r="C349" s="117" t="s">
        <v>71</v>
      </c>
      <c r="D349" s="117" t="s">
        <v>72</v>
      </c>
      <c r="E349" s="163"/>
      <c r="F349" s="163">
        <f t="shared" si="439"/>
        <v>0</v>
      </c>
      <c r="G349" s="403"/>
      <c r="H349" s="405"/>
      <c r="I349" s="161"/>
      <c r="J349" s="161">
        <f t="shared" ref="J349" si="448">I349*1.12</f>
        <v>0</v>
      </c>
      <c r="K349" s="389"/>
      <c r="L349" s="389"/>
      <c r="M349" s="373"/>
      <c r="N349" s="127">
        <f t="shared" si="440"/>
        <v>485252782.7589286</v>
      </c>
      <c r="O349" s="127">
        <f t="shared" si="440"/>
        <v>543483116.69000006</v>
      </c>
      <c r="P349" s="120">
        <f t="shared" si="441"/>
        <v>485252782.7589286</v>
      </c>
      <c r="Q349" s="162">
        <f>Q348</f>
        <v>543483116.69000006</v>
      </c>
      <c r="R349" s="375"/>
      <c r="S349" s="377"/>
      <c r="T349" s="119"/>
      <c r="U349" s="119"/>
      <c r="V349" s="119"/>
      <c r="W349" s="119"/>
      <c r="X349" s="119"/>
      <c r="Y349" s="119"/>
      <c r="Z349" s="119"/>
      <c r="AA349" s="119"/>
      <c r="AB349" s="119"/>
      <c r="AC349" s="119">
        <f>AC350</f>
        <v>484970.56823214283</v>
      </c>
      <c r="AD349" s="118">
        <f t="shared" si="446"/>
        <v>543167.03642000002</v>
      </c>
      <c r="AE349" s="119"/>
      <c r="AF349" s="119">
        <f>AC349+Z349+W349+T349</f>
        <v>484970.56823214283</v>
      </c>
      <c r="AG349" s="119">
        <f>AD349+AA349+X349+U349</f>
        <v>543167.03642000002</v>
      </c>
      <c r="AH349" s="119"/>
      <c r="AI349" s="119"/>
      <c r="AJ349" s="119">
        <f>AI349*1.12</f>
        <v>0</v>
      </c>
      <c r="AK349" s="119"/>
      <c r="AL349" s="119">
        <f>AL350</f>
        <v>0</v>
      </c>
      <c r="AM349" s="118">
        <f t="shared" si="447"/>
        <v>0</v>
      </c>
      <c r="AN349" s="119"/>
      <c r="AO349" s="118">
        <f>AL349-AI349</f>
        <v>0</v>
      </c>
      <c r="AP349" s="118">
        <f>AO349*1.12</f>
        <v>0</v>
      </c>
      <c r="AQ349" s="118"/>
      <c r="AR349" s="121"/>
      <c r="AS349" s="122">
        <f>AL349</f>
        <v>0</v>
      </c>
      <c r="AT349" s="122"/>
      <c r="AU349" s="122"/>
      <c r="AV349" s="118">
        <f>AV348</f>
        <v>485252.7827589286</v>
      </c>
      <c r="AW349" s="118">
        <f t="shared" si="444"/>
        <v>543483.11669000005</v>
      </c>
      <c r="AX349" s="118"/>
      <c r="AY349" s="118"/>
      <c r="AZ349" s="118"/>
      <c r="BA349" s="118"/>
      <c r="BB349" s="118"/>
      <c r="BC349" s="118"/>
      <c r="BD349" s="118"/>
      <c r="BE349" s="118"/>
      <c r="BF349" s="118"/>
      <c r="BG349" s="118"/>
      <c r="BH349" s="118"/>
      <c r="BI349" s="118"/>
      <c r="BJ349" s="118"/>
      <c r="BK349" s="118"/>
      <c r="BL349" s="118"/>
      <c r="BM349" s="100"/>
      <c r="BN349" s="100"/>
      <c r="BO349" s="100"/>
      <c r="BP349" s="100"/>
      <c r="BQ349" s="100"/>
      <c r="BR349" s="100"/>
      <c r="BS349" s="100"/>
      <c r="BT349" s="100"/>
      <c r="BU349" s="97"/>
      <c r="BV349" s="97"/>
      <c r="BW349" s="386"/>
      <c r="BX349" s="386"/>
    </row>
    <row r="350" spans="1:76" x14ac:dyDescent="0.25">
      <c r="A350" s="368"/>
      <c r="B350" s="369"/>
      <c r="C350" s="124" t="s">
        <v>71</v>
      </c>
      <c r="D350" s="124" t="s">
        <v>73</v>
      </c>
      <c r="E350" s="167"/>
      <c r="F350" s="167">
        <f t="shared" si="439"/>
        <v>0</v>
      </c>
      <c r="G350" s="403"/>
      <c r="H350" s="405"/>
      <c r="I350" s="166"/>
      <c r="J350" s="166">
        <f>I350*1.12</f>
        <v>0</v>
      </c>
      <c r="K350" s="390"/>
      <c r="L350" s="390"/>
      <c r="M350" s="374"/>
      <c r="N350" s="127">
        <f t="shared" si="440"/>
        <v>485252782.7589286</v>
      </c>
      <c r="O350" s="127">
        <f t="shared" si="440"/>
        <v>543483116.69000006</v>
      </c>
      <c r="P350" s="127">
        <f t="shared" si="441"/>
        <v>485252782.7589286</v>
      </c>
      <c r="Q350" s="232">
        <f>Q349</f>
        <v>543483116.69000006</v>
      </c>
      <c r="R350" s="354"/>
      <c r="S350" s="378"/>
      <c r="T350" s="126"/>
      <c r="U350" s="126"/>
      <c r="V350" s="126"/>
      <c r="W350" s="126"/>
      <c r="X350" s="126"/>
      <c r="Y350" s="126"/>
      <c r="Z350" s="126"/>
      <c r="AA350" s="126"/>
      <c r="AB350" s="126"/>
      <c r="AC350" s="249">
        <f>74057.99603/1.12+124647.86056/1.12+76139.5908/1.12+34000/1.12+125784.20672/1.12+108537.38231/1.12</f>
        <v>484970.56823214283</v>
      </c>
      <c r="AD350" s="125">
        <f t="shared" si="446"/>
        <v>543167.03642000002</v>
      </c>
      <c r="AE350" s="126"/>
      <c r="AF350" s="126">
        <f>AC350+Z350+W350+T350</f>
        <v>484970.56823214283</v>
      </c>
      <c r="AG350" s="126">
        <f>AD350+AA350+X350+U350</f>
        <v>543167.03642000002</v>
      </c>
      <c r="AH350" s="126"/>
      <c r="AI350" s="126">
        <f>AI349</f>
        <v>0</v>
      </c>
      <c r="AJ350" s="126">
        <f>AJ349</f>
        <v>0</v>
      </c>
      <c r="AK350" s="126"/>
      <c r="AL350" s="126"/>
      <c r="AM350" s="125">
        <f t="shared" si="447"/>
        <v>0</v>
      </c>
      <c r="AN350" s="126"/>
      <c r="AO350" s="125">
        <f>AO349</f>
        <v>0</v>
      </c>
      <c r="AP350" s="125">
        <f>AP349</f>
        <v>0</v>
      </c>
      <c r="AQ350" s="125"/>
      <c r="AR350" s="128"/>
      <c r="AS350" s="129">
        <f>AL350</f>
        <v>0</v>
      </c>
      <c r="AT350" s="129"/>
      <c r="AU350" s="129"/>
      <c r="AV350" s="125">
        <f>AV349</f>
        <v>485252.7827589286</v>
      </c>
      <c r="AW350" s="125">
        <f t="shared" si="444"/>
        <v>543483.11669000005</v>
      </c>
      <c r="AX350" s="125"/>
      <c r="AY350" s="125"/>
      <c r="AZ350" s="125"/>
      <c r="BA350" s="125"/>
      <c r="BB350" s="125"/>
      <c r="BC350" s="125"/>
      <c r="BD350" s="125"/>
      <c r="BE350" s="125"/>
      <c r="BF350" s="118"/>
      <c r="BG350" s="125"/>
      <c r="BH350" s="125"/>
      <c r="BI350" s="125"/>
      <c r="BJ350" s="125"/>
      <c r="BK350" s="125"/>
      <c r="BL350" s="125"/>
      <c r="BM350" s="25"/>
      <c r="BN350" s="25"/>
      <c r="BO350" s="25"/>
      <c r="BP350" s="25"/>
      <c r="BQ350" s="25"/>
      <c r="BR350" s="25"/>
      <c r="BS350" s="25"/>
      <c r="BT350" s="25"/>
      <c r="BW350" s="386"/>
      <c r="BX350" s="386"/>
    </row>
    <row r="351" spans="1:76" x14ac:dyDescent="0.25">
      <c r="A351" s="368"/>
      <c r="B351" s="369"/>
      <c r="C351" s="193" t="s">
        <v>69</v>
      </c>
      <c r="D351" s="193" t="s">
        <v>70</v>
      </c>
      <c r="E351" s="194"/>
      <c r="F351" s="194">
        <f t="shared" si="439"/>
        <v>0</v>
      </c>
      <c r="G351" s="403"/>
      <c r="H351" s="405"/>
      <c r="I351" s="195"/>
      <c r="J351" s="195">
        <f>I351*1.12</f>
        <v>0</v>
      </c>
      <c r="K351" s="388" t="s">
        <v>173</v>
      </c>
      <c r="L351" s="391" t="s">
        <v>174</v>
      </c>
      <c r="M351" s="372" t="s">
        <v>96</v>
      </c>
      <c r="N351" s="196">
        <f t="shared" si="440"/>
        <v>322716656.4910714</v>
      </c>
      <c r="O351" s="196">
        <f t="shared" si="440"/>
        <v>361442655.26999998</v>
      </c>
      <c r="P351" s="196">
        <f t="shared" si="441"/>
        <v>322716656.4910714</v>
      </c>
      <c r="Q351" s="247">
        <v>361442655.26999998</v>
      </c>
      <c r="R351" s="353" t="s">
        <v>171</v>
      </c>
      <c r="S351" s="376">
        <v>137</v>
      </c>
      <c r="T351" s="198"/>
      <c r="U351" s="198"/>
      <c r="V351" s="198"/>
      <c r="W351" s="198"/>
      <c r="X351" s="198"/>
      <c r="Y351" s="198"/>
      <c r="Z351" s="198"/>
      <c r="AA351" s="198"/>
      <c r="AB351" s="198"/>
      <c r="AC351" s="198">
        <v>325321</v>
      </c>
      <c r="AD351" s="199">
        <f t="shared" si="446"/>
        <v>364359.52</v>
      </c>
      <c r="AE351" s="198">
        <f>23+23+23+21+21+26</f>
        <v>137</v>
      </c>
      <c r="AF351" s="198">
        <f>Z351+AC351+W351+T351</f>
        <v>325321</v>
      </c>
      <c r="AG351" s="198">
        <f>AA351+AD351+X351+U351</f>
        <v>364359.52</v>
      </c>
      <c r="AH351" s="198">
        <f>AB351+AE351+Y351+V351</f>
        <v>137</v>
      </c>
      <c r="AI351" s="198"/>
      <c r="AJ351" s="198"/>
      <c r="AK351" s="198"/>
      <c r="AL351" s="198"/>
      <c r="AM351" s="199">
        <f t="shared" si="447"/>
        <v>0</v>
      </c>
      <c r="AN351" s="198"/>
      <c r="AO351" s="199"/>
      <c r="AP351" s="199"/>
      <c r="AQ351" s="199"/>
      <c r="AR351" s="200"/>
      <c r="AS351" s="201"/>
      <c r="AT351" s="201"/>
      <c r="AU351" s="201"/>
      <c r="AV351" s="199">
        <f>P351/1000+AZ351</f>
        <v>322716.65649107139</v>
      </c>
      <c r="AW351" s="199">
        <f t="shared" si="444"/>
        <v>361442.65526999999</v>
      </c>
      <c r="AX351" s="199">
        <f>S351</f>
        <v>137</v>
      </c>
      <c r="AY351" s="199"/>
      <c r="AZ351" s="199"/>
      <c r="BA351" s="199"/>
      <c r="BB351" s="199"/>
      <c r="BC351" s="199"/>
      <c r="BD351" s="199"/>
      <c r="BE351" s="199"/>
      <c r="BF351" s="199"/>
      <c r="BG351" s="199"/>
      <c r="BH351" s="199"/>
      <c r="BI351" s="199"/>
      <c r="BJ351" s="199"/>
      <c r="BK351" s="199"/>
      <c r="BL351" s="199"/>
      <c r="BM351" s="202"/>
      <c r="BN351" s="202"/>
      <c r="BO351" s="202"/>
      <c r="BP351" s="202"/>
      <c r="BQ351" s="202"/>
      <c r="BR351" s="202"/>
      <c r="BS351" s="202"/>
      <c r="BT351" s="202"/>
      <c r="BU351" s="204"/>
      <c r="BV351" s="204"/>
      <c r="BW351" s="386"/>
      <c r="BX351" s="386"/>
    </row>
    <row r="352" spans="1:76" x14ac:dyDescent="0.25">
      <c r="A352" s="368"/>
      <c r="B352" s="369"/>
      <c r="C352" s="117" t="s">
        <v>71</v>
      </c>
      <c r="D352" s="117" t="s">
        <v>72</v>
      </c>
      <c r="E352" s="163"/>
      <c r="F352" s="163">
        <f t="shared" si="439"/>
        <v>0</v>
      </c>
      <c r="G352" s="403"/>
      <c r="H352" s="405"/>
      <c r="I352" s="161"/>
      <c r="J352" s="161">
        <f t="shared" ref="J352" si="449">I352*1.12</f>
        <v>0</v>
      </c>
      <c r="K352" s="389"/>
      <c r="L352" s="392"/>
      <c r="M352" s="373"/>
      <c r="N352" s="127">
        <f t="shared" si="440"/>
        <v>322716656.4910714</v>
      </c>
      <c r="O352" s="127">
        <f t="shared" si="440"/>
        <v>361442655.26999998</v>
      </c>
      <c r="P352" s="120">
        <f t="shared" si="441"/>
        <v>322716656.4910714</v>
      </c>
      <c r="Q352" s="162">
        <f>Q351</f>
        <v>361442655.26999998</v>
      </c>
      <c r="R352" s="375"/>
      <c r="S352" s="377"/>
      <c r="T352" s="119"/>
      <c r="U352" s="119"/>
      <c r="V352" s="119"/>
      <c r="W352" s="119"/>
      <c r="X352" s="119"/>
      <c r="Y352" s="119"/>
      <c r="Z352" s="119"/>
      <c r="AA352" s="119"/>
      <c r="AB352" s="119"/>
      <c r="AC352" s="119">
        <f>AC353</f>
        <v>221106.3582053571</v>
      </c>
      <c r="AD352" s="118">
        <f t="shared" si="446"/>
        <v>247639.12118999998</v>
      </c>
      <c r="AE352" s="119"/>
      <c r="AF352" s="119">
        <f>AC352+Z352+W352+T352</f>
        <v>221106.3582053571</v>
      </c>
      <c r="AG352" s="119">
        <f>AD352+AA352+X352+U352</f>
        <v>247639.12118999998</v>
      </c>
      <c r="AH352" s="119"/>
      <c r="AI352" s="119"/>
      <c r="AJ352" s="119">
        <f>AI352*1.12</f>
        <v>0</v>
      </c>
      <c r="AK352" s="119"/>
      <c r="AL352" s="119">
        <f>AL353</f>
        <v>0</v>
      </c>
      <c r="AM352" s="118">
        <f t="shared" si="447"/>
        <v>0</v>
      </c>
      <c r="AN352" s="119"/>
      <c r="AO352" s="118">
        <f>AL352-AI352</f>
        <v>0</v>
      </c>
      <c r="AP352" s="118">
        <f>AO352*1.12</f>
        <v>0</v>
      </c>
      <c r="AQ352" s="118"/>
      <c r="AR352" s="121"/>
      <c r="AS352" s="122">
        <f>AL352</f>
        <v>0</v>
      </c>
      <c r="AT352" s="122"/>
      <c r="AU352" s="122"/>
      <c r="AV352" s="118">
        <f>AV351</f>
        <v>322716.65649107139</v>
      </c>
      <c r="AW352" s="118">
        <f t="shared" si="444"/>
        <v>361442.65526999999</v>
      </c>
      <c r="AX352" s="118"/>
      <c r="AY352" s="118"/>
      <c r="AZ352" s="118"/>
      <c r="BA352" s="118"/>
      <c r="BB352" s="118"/>
      <c r="BC352" s="118"/>
      <c r="BD352" s="118"/>
      <c r="BE352" s="118"/>
      <c r="BF352" s="118"/>
      <c r="BG352" s="118"/>
      <c r="BH352" s="118"/>
      <c r="BI352" s="118"/>
      <c r="BJ352" s="118"/>
      <c r="BK352" s="118"/>
      <c r="BL352" s="118"/>
      <c r="BM352" s="100"/>
      <c r="BN352" s="100"/>
      <c r="BO352" s="100"/>
      <c r="BP352" s="100"/>
      <c r="BQ352" s="100"/>
      <c r="BR352" s="100"/>
      <c r="BS352" s="100"/>
      <c r="BT352" s="100"/>
      <c r="BU352" s="97"/>
      <c r="BV352" s="97"/>
      <c r="BW352" s="386"/>
      <c r="BX352" s="386"/>
    </row>
    <row r="353" spans="1:76" x14ac:dyDescent="0.25">
      <c r="A353" s="368"/>
      <c r="B353" s="369"/>
      <c r="C353" s="124" t="s">
        <v>71</v>
      </c>
      <c r="D353" s="124" t="s">
        <v>73</v>
      </c>
      <c r="E353" s="167"/>
      <c r="F353" s="167">
        <f t="shared" si="439"/>
        <v>0</v>
      </c>
      <c r="G353" s="403"/>
      <c r="H353" s="405"/>
      <c r="I353" s="166"/>
      <c r="J353" s="166">
        <f>I353*1.12</f>
        <v>0</v>
      </c>
      <c r="K353" s="390"/>
      <c r="L353" s="393"/>
      <c r="M353" s="374"/>
      <c r="N353" s="127">
        <f t="shared" si="440"/>
        <v>322716656.4910714</v>
      </c>
      <c r="O353" s="127">
        <f t="shared" si="440"/>
        <v>361442655.26999998</v>
      </c>
      <c r="P353" s="127">
        <f t="shared" si="441"/>
        <v>322716656.4910714</v>
      </c>
      <c r="Q353" s="232">
        <f>Q352</f>
        <v>361442655.26999998</v>
      </c>
      <c r="R353" s="354"/>
      <c r="S353" s="378"/>
      <c r="T353" s="126"/>
      <c r="U353" s="126"/>
      <c r="V353" s="126"/>
      <c r="W353" s="126"/>
      <c r="X353" s="126"/>
      <c r="Y353" s="126"/>
      <c r="Z353" s="126"/>
      <c r="AA353" s="126"/>
      <c r="AB353" s="126"/>
      <c r="AC353" s="215">
        <f>43428.18611/1.12+43631.653/1.12+39320.32057/1.12+18000/1.12+55996.36373/1.12+47262.59778/1.12</f>
        <v>221106.3582053571</v>
      </c>
      <c r="AD353" s="125">
        <f t="shared" si="446"/>
        <v>247639.12118999998</v>
      </c>
      <c r="AE353" s="126"/>
      <c r="AF353" s="126">
        <f>AC353+Z353+W353+T353</f>
        <v>221106.3582053571</v>
      </c>
      <c r="AG353" s="126">
        <f>AD353+AA353+X353+U353</f>
        <v>247639.12118999998</v>
      </c>
      <c r="AH353" s="126"/>
      <c r="AI353" s="126">
        <f>AI352</f>
        <v>0</v>
      </c>
      <c r="AJ353" s="126">
        <f>AJ352</f>
        <v>0</v>
      </c>
      <c r="AK353" s="126"/>
      <c r="AL353" s="126"/>
      <c r="AM353" s="125">
        <f t="shared" si="447"/>
        <v>0</v>
      </c>
      <c r="AN353" s="126"/>
      <c r="AO353" s="125">
        <f>AO352</f>
        <v>0</v>
      </c>
      <c r="AP353" s="125">
        <f>AP352</f>
        <v>0</v>
      </c>
      <c r="AQ353" s="125"/>
      <c r="AR353" s="128"/>
      <c r="AS353" s="129">
        <f>AL353</f>
        <v>0</v>
      </c>
      <c r="AT353" s="129"/>
      <c r="AU353" s="129"/>
      <c r="AV353" s="125">
        <f>AV352</f>
        <v>322716.65649107139</v>
      </c>
      <c r="AW353" s="125">
        <f t="shared" si="444"/>
        <v>361442.65526999999</v>
      </c>
      <c r="AX353" s="125"/>
      <c r="AY353" s="125"/>
      <c r="AZ353" s="125"/>
      <c r="BA353" s="125"/>
      <c r="BB353" s="125"/>
      <c r="BC353" s="125"/>
      <c r="BD353" s="125"/>
      <c r="BE353" s="125"/>
      <c r="BF353" s="118"/>
      <c r="BG353" s="125"/>
      <c r="BH353" s="125"/>
      <c r="BI353" s="125"/>
      <c r="BJ353" s="125"/>
      <c r="BK353" s="125"/>
      <c r="BL353" s="125"/>
      <c r="BM353" s="25"/>
      <c r="BN353" s="25"/>
      <c r="BO353" s="25"/>
      <c r="BP353" s="25"/>
      <c r="BQ353" s="25"/>
      <c r="BR353" s="25"/>
      <c r="BS353" s="25"/>
      <c r="BT353" s="25"/>
      <c r="BW353" s="386"/>
      <c r="BX353" s="386"/>
    </row>
    <row r="354" spans="1:76" x14ac:dyDescent="0.25">
      <c r="A354" s="368"/>
      <c r="B354" s="369"/>
      <c r="C354" s="193" t="s">
        <v>69</v>
      </c>
      <c r="D354" s="193" t="s">
        <v>70</v>
      </c>
      <c r="E354" s="194"/>
      <c r="F354" s="194">
        <f t="shared" si="439"/>
        <v>0</v>
      </c>
      <c r="G354" s="403"/>
      <c r="H354" s="405"/>
      <c r="I354" s="195"/>
      <c r="J354" s="195">
        <f>I354*1.12</f>
        <v>0</v>
      </c>
      <c r="K354" s="388" t="s">
        <v>154</v>
      </c>
      <c r="L354" s="391" t="s">
        <v>175</v>
      </c>
      <c r="M354" s="372" t="s">
        <v>96</v>
      </c>
      <c r="N354" s="196">
        <f t="shared" si="440"/>
        <v>501741954.9910714</v>
      </c>
      <c r="O354" s="196">
        <f t="shared" si="440"/>
        <v>561950989.59000003</v>
      </c>
      <c r="P354" s="196">
        <f t="shared" si="441"/>
        <v>501741954.9910714</v>
      </c>
      <c r="Q354" s="247">
        <v>561950989.59000003</v>
      </c>
      <c r="R354" s="353" t="s">
        <v>171</v>
      </c>
      <c r="S354" s="376">
        <v>213</v>
      </c>
      <c r="T354" s="198"/>
      <c r="U354" s="198"/>
      <c r="V354" s="198"/>
      <c r="W354" s="198"/>
      <c r="X354" s="198"/>
      <c r="Y354" s="198"/>
      <c r="Z354" s="198"/>
      <c r="AA354" s="198"/>
      <c r="AB354" s="198"/>
      <c r="AC354" s="198">
        <f>581747</f>
        <v>581747</v>
      </c>
      <c r="AD354" s="199">
        <f t="shared" si="446"/>
        <v>651556.64</v>
      </c>
      <c r="AE354" s="198">
        <f>36+36+36+31+31+43</f>
        <v>213</v>
      </c>
      <c r="AF354" s="198">
        <f>Z354+AC354+W354+T354</f>
        <v>581747</v>
      </c>
      <c r="AG354" s="198">
        <f>AA354+AD354+X354+U354</f>
        <v>651556.64</v>
      </c>
      <c r="AH354" s="198">
        <f>AB354+AE354+Y354+V354</f>
        <v>213</v>
      </c>
      <c r="AI354" s="198"/>
      <c r="AJ354" s="198"/>
      <c r="AK354" s="198"/>
      <c r="AL354" s="198"/>
      <c r="AM354" s="199">
        <f t="shared" si="447"/>
        <v>0</v>
      </c>
      <c r="AN354" s="198"/>
      <c r="AO354" s="199"/>
      <c r="AP354" s="199"/>
      <c r="AQ354" s="199"/>
      <c r="AR354" s="200"/>
      <c r="AS354" s="201"/>
      <c r="AT354" s="201"/>
      <c r="AU354" s="201"/>
      <c r="AV354" s="199">
        <f>P354/1000+AZ354</f>
        <v>501741.95499107143</v>
      </c>
      <c r="AW354" s="199">
        <f t="shared" si="444"/>
        <v>561950.98959000001</v>
      </c>
      <c r="AX354" s="199">
        <f>S354</f>
        <v>213</v>
      </c>
      <c r="AY354" s="199"/>
      <c r="AZ354" s="199"/>
      <c r="BA354" s="199"/>
      <c r="BB354" s="199"/>
      <c r="BC354" s="199"/>
      <c r="BD354" s="199"/>
      <c r="BE354" s="199"/>
      <c r="BF354" s="199"/>
      <c r="BG354" s="199"/>
      <c r="BH354" s="199"/>
      <c r="BI354" s="199"/>
      <c r="BJ354" s="199"/>
      <c r="BK354" s="199"/>
      <c r="BL354" s="199"/>
      <c r="BM354" s="202"/>
      <c r="BN354" s="202"/>
      <c r="BO354" s="202"/>
      <c r="BP354" s="202"/>
      <c r="BQ354" s="202"/>
      <c r="BR354" s="202"/>
      <c r="BS354" s="202"/>
      <c r="BT354" s="202"/>
      <c r="BU354" s="204"/>
      <c r="BV354" s="204"/>
      <c r="BW354" s="386"/>
      <c r="BX354" s="386"/>
    </row>
    <row r="355" spans="1:76" x14ac:dyDescent="0.25">
      <c r="A355" s="368"/>
      <c r="B355" s="369"/>
      <c r="C355" s="117" t="s">
        <v>71</v>
      </c>
      <c r="D355" s="117" t="s">
        <v>72</v>
      </c>
      <c r="E355" s="163"/>
      <c r="F355" s="163">
        <f t="shared" si="439"/>
        <v>0</v>
      </c>
      <c r="G355" s="403"/>
      <c r="H355" s="405"/>
      <c r="I355" s="161"/>
      <c r="J355" s="161">
        <f t="shared" ref="J355" si="450">I355*1.12</f>
        <v>0</v>
      </c>
      <c r="K355" s="389"/>
      <c r="L355" s="392"/>
      <c r="M355" s="373"/>
      <c r="N355" s="127">
        <f t="shared" si="440"/>
        <v>501741954.9910714</v>
      </c>
      <c r="O355" s="127">
        <f t="shared" si="440"/>
        <v>561950989.59000003</v>
      </c>
      <c r="P355" s="120">
        <f t="shared" si="441"/>
        <v>501741954.9910714</v>
      </c>
      <c r="Q355" s="162">
        <f>Q354</f>
        <v>561950989.59000003</v>
      </c>
      <c r="R355" s="375"/>
      <c r="S355" s="377"/>
      <c r="T355" s="119"/>
      <c r="U355" s="119"/>
      <c r="V355" s="119"/>
      <c r="W355" s="119"/>
      <c r="X355" s="119"/>
      <c r="Y355" s="119"/>
      <c r="Z355" s="119"/>
      <c r="AA355" s="119"/>
      <c r="AB355" s="119"/>
      <c r="AC355" s="119">
        <f>AC356</f>
        <v>452267.57800892851</v>
      </c>
      <c r="AD355" s="118">
        <f t="shared" si="446"/>
        <v>506539.68737</v>
      </c>
      <c r="AE355" s="119"/>
      <c r="AF355" s="119">
        <f>AC355+Z355+W355+T355</f>
        <v>452267.57800892851</v>
      </c>
      <c r="AG355" s="119">
        <f>AD355+AA355+X355+U355</f>
        <v>506539.68737</v>
      </c>
      <c r="AH355" s="119"/>
      <c r="AI355" s="119"/>
      <c r="AJ355" s="119">
        <f>AI355*1.12</f>
        <v>0</v>
      </c>
      <c r="AK355" s="119"/>
      <c r="AL355" s="119">
        <f>AL356</f>
        <v>0</v>
      </c>
      <c r="AM355" s="118">
        <f t="shared" si="447"/>
        <v>0</v>
      </c>
      <c r="AN355" s="119"/>
      <c r="AO355" s="118">
        <f>AL355-AI355</f>
        <v>0</v>
      </c>
      <c r="AP355" s="118">
        <f>AO355*1.12</f>
        <v>0</v>
      </c>
      <c r="AQ355" s="118"/>
      <c r="AR355" s="121"/>
      <c r="AS355" s="122">
        <f>AL355</f>
        <v>0</v>
      </c>
      <c r="AT355" s="122"/>
      <c r="AU355" s="122"/>
      <c r="AV355" s="118">
        <f>AV354</f>
        <v>501741.95499107143</v>
      </c>
      <c r="AW355" s="118">
        <f t="shared" si="444"/>
        <v>561950.98959000001</v>
      </c>
      <c r="AX355" s="118"/>
      <c r="AY355" s="118"/>
      <c r="AZ355" s="118"/>
      <c r="BA355" s="118"/>
      <c r="BB355" s="118"/>
      <c r="BC355" s="118"/>
      <c r="BD355" s="118"/>
      <c r="BE355" s="118"/>
      <c r="BF355" s="118"/>
      <c r="BG355" s="118"/>
      <c r="BH355" s="118"/>
      <c r="BI355" s="118"/>
      <c r="BJ355" s="118"/>
      <c r="BK355" s="118"/>
      <c r="BL355" s="118"/>
      <c r="BM355" s="100"/>
      <c r="BN355" s="100"/>
      <c r="BO355" s="100"/>
      <c r="BP355" s="100"/>
      <c r="BQ355" s="100"/>
      <c r="BR355" s="100"/>
      <c r="BS355" s="100"/>
      <c r="BT355" s="100"/>
      <c r="BU355" s="97"/>
      <c r="BV355" s="97"/>
      <c r="BW355" s="386"/>
      <c r="BX355" s="386"/>
    </row>
    <row r="356" spans="1:76" x14ac:dyDescent="0.25">
      <c r="A356" s="368"/>
      <c r="B356" s="369"/>
      <c r="C356" s="124" t="s">
        <v>71</v>
      </c>
      <c r="D356" s="124" t="s">
        <v>73</v>
      </c>
      <c r="E356" s="167"/>
      <c r="F356" s="167">
        <f t="shared" si="439"/>
        <v>0</v>
      </c>
      <c r="G356" s="403"/>
      <c r="H356" s="405"/>
      <c r="I356" s="166"/>
      <c r="J356" s="166">
        <f>I356*1.12</f>
        <v>0</v>
      </c>
      <c r="K356" s="390"/>
      <c r="L356" s="393"/>
      <c r="M356" s="374"/>
      <c r="N356" s="127">
        <f t="shared" si="440"/>
        <v>501741954.9910714</v>
      </c>
      <c r="O356" s="127">
        <f t="shared" si="440"/>
        <v>561950989.59000003</v>
      </c>
      <c r="P356" s="127">
        <f t="shared" si="441"/>
        <v>501741954.9910714</v>
      </c>
      <c r="Q356" s="232">
        <f>Q355</f>
        <v>561950989.59000003</v>
      </c>
      <c r="R356" s="354"/>
      <c r="S356" s="378"/>
      <c r="T356" s="126"/>
      <c r="U356" s="126"/>
      <c r="V356" s="126"/>
      <c r="W356" s="126"/>
      <c r="X356" s="126"/>
      <c r="Y356" s="126"/>
      <c r="Z356" s="126"/>
      <c r="AA356" s="126"/>
      <c r="AB356" s="126"/>
      <c r="AC356" s="249">
        <f>88606.94177/1.12+87362.70876/1.12+86520.91261/1.12+38000/1.12+119520.91375/1.12+86528.21048/1.12</f>
        <v>452267.57800892851</v>
      </c>
      <c r="AD356" s="125">
        <f t="shared" si="446"/>
        <v>506539.68737</v>
      </c>
      <c r="AE356" s="126"/>
      <c r="AF356" s="126">
        <f>AC356+Z356+W356+T356</f>
        <v>452267.57800892851</v>
      </c>
      <c r="AG356" s="126">
        <f>AD356+AA356+X356+U356</f>
        <v>506539.68737</v>
      </c>
      <c r="AH356" s="126"/>
      <c r="AI356" s="126">
        <f>AI355</f>
        <v>0</v>
      </c>
      <c r="AJ356" s="126">
        <f>AJ355</f>
        <v>0</v>
      </c>
      <c r="AK356" s="126"/>
      <c r="AL356" s="126"/>
      <c r="AM356" s="125">
        <f t="shared" si="447"/>
        <v>0</v>
      </c>
      <c r="AN356" s="126"/>
      <c r="AO356" s="125">
        <f>AO355</f>
        <v>0</v>
      </c>
      <c r="AP356" s="125">
        <f>AP355</f>
        <v>0</v>
      </c>
      <c r="AQ356" s="125"/>
      <c r="AR356" s="128"/>
      <c r="AS356" s="129">
        <f>AL356</f>
        <v>0</v>
      </c>
      <c r="AT356" s="129"/>
      <c r="AU356" s="129"/>
      <c r="AV356" s="125">
        <f>AV355</f>
        <v>501741.95499107143</v>
      </c>
      <c r="AW356" s="125">
        <f t="shared" si="444"/>
        <v>561950.98959000001</v>
      </c>
      <c r="AX356" s="125"/>
      <c r="AY356" s="125"/>
      <c r="AZ356" s="125"/>
      <c r="BA356" s="125"/>
      <c r="BB356" s="125"/>
      <c r="BC356" s="125"/>
      <c r="BD356" s="125"/>
      <c r="BE356" s="125"/>
      <c r="BF356" s="118"/>
      <c r="BG356" s="125"/>
      <c r="BH356" s="125"/>
      <c r="BI356" s="125"/>
      <c r="BJ356" s="125"/>
      <c r="BK356" s="125"/>
      <c r="BL356" s="125"/>
      <c r="BM356" s="25"/>
      <c r="BN356" s="25"/>
      <c r="BO356" s="25"/>
      <c r="BP356" s="25"/>
      <c r="BQ356" s="25"/>
      <c r="BR356" s="25"/>
      <c r="BS356" s="25"/>
      <c r="BT356" s="25"/>
      <c r="BW356" s="386"/>
      <c r="BX356" s="386"/>
    </row>
    <row r="357" spans="1:76" ht="26.25" customHeight="1" x14ac:dyDescent="0.25">
      <c r="A357" s="368"/>
      <c r="B357" s="369"/>
      <c r="C357" s="193" t="s">
        <v>69</v>
      </c>
      <c r="D357" s="193" t="s">
        <v>70</v>
      </c>
      <c r="E357" s="194"/>
      <c r="F357" s="194">
        <f t="shared" si="439"/>
        <v>0</v>
      </c>
      <c r="G357" s="403"/>
      <c r="H357" s="405"/>
      <c r="I357" s="195"/>
      <c r="J357" s="195">
        <f>I357*1.12</f>
        <v>0</v>
      </c>
      <c r="K357" s="396" t="s">
        <v>176</v>
      </c>
      <c r="L357" s="396" t="s">
        <v>177</v>
      </c>
      <c r="M357" s="372" t="s">
        <v>96</v>
      </c>
      <c r="N357" s="196">
        <f t="shared" si="440"/>
        <v>3533394044.9999995</v>
      </c>
      <c r="O357" s="196">
        <f t="shared" si="440"/>
        <v>3957401330.3999996</v>
      </c>
      <c r="P357" s="196">
        <f t="shared" si="441"/>
        <v>3533394044.9999995</v>
      </c>
      <c r="Q357" s="247">
        <f>489989212.16+3467412118.24</f>
        <v>3957401330.3999996</v>
      </c>
      <c r="R357" s="353" t="s">
        <v>178</v>
      </c>
      <c r="S357" s="376">
        <v>1500</v>
      </c>
      <c r="T357" s="198"/>
      <c r="U357" s="198"/>
      <c r="V357" s="198"/>
      <c r="W357" s="198"/>
      <c r="X357" s="198"/>
      <c r="Y357" s="198"/>
      <c r="Z357" s="198"/>
      <c r="AA357" s="198"/>
      <c r="AB357" s="198"/>
      <c r="AC357" s="198">
        <v>4634317</v>
      </c>
      <c r="AD357" s="199">
        <f t="shared" si="446"/>
        <v>5190435.04</v>
      </c>
      <c r="AE357" s="198">
        <f>136+136+142+114+107+99+158+145+121+137+106+99</f>
        <v>1500</v>
      </c>
      <c r="AF357" s="198">
        <f>Z357+AC357+W357+T357</f>
        <v>4634317</v>
      </c>
      <c r="AG357" s="198">
        <f>AA357+AD357+X357+U357</f>
        <v>5190435.04</v>
      </c>
      <c r="AH357" s="198">
        <f>AB357+AE357+Y357+V357</f>
        <v>1500</v>
      </c>
      <c r="AI357" s="198"/>
      <c r="AJ357" s="198"/>
      <c r="AK357" s="198"/>
      <c r="AL357" s="198"/>
      <c r="AM357" s="199">
        <f t="shared" si="447"/>
        <v>0</v>
      </c>
      <c r="AN357" s="198"/>
      <c r="AO357" s="199"/>
      <c r="AP357" s="199"/>
      <c r="AQ357" s="199"/>
      <c r="AR357" s="200" t="str">
        <f>IF($AI$345=0,"",AL357/($AI$345/$AK$345*AN357))</f>
        <v/>
      </c>
      <c r="AS357" s="201"/>
      <c r="AT357" s="201"/>
      <c r="AU357" s="201"/>
      <c r="AV357" s="194">
        <f>P357/1000+AZ357</f>
        <v>3533394.0449999995</v>
      </c>
      <c r="AW357" s="199">
        <f t="shared" si="444"/>
        <v>3957401.3303999999</v>
      </c>
      <c r="AX357" s="199">
        <f>S357</f>
        <v>1500</v>
      </c>
      <c r="AY357" s="199"/>
      <c r="AZ357" s="199"/>
      <c r="BA357" s="199"/>
      <c r="BB357" s="199"/>
      <c r="BC357" s="199"/>
      <c r="BD357" s="199"/>
      <c r="BE357" s="199"/>
      <c r="BF357" s="199"/>
      <c r="BG357" s="199"/>
      <c r="BH357" s="199"/>
      <c r="BI357" s="199"/>
      <c r="BJ357" s="199"/>
      <c r="BK357" s="199"/>
      <c r="BL357" s="199"/>
      <c r="BM357" s="202"/>
      <c r="BN357" s="202"/>
      <c r="BO357" s="202"/>
      <c r="BP357" s="202"/>
      <c r="BQ357" s="202"/>
      <c r="BR357" s="202"/>
      <c r="BS357" s="202"/>
      <c r="BT357" s="202"/>
      <c r="BU357" s="204"/>
      <c r="BV357" s="204"/>
      <c r="BW357" s="386"/>
      <c r="BX357" s="386"/>
    </row>
    <row r="358" spans="1:76" ht="26.25" customHeight="1" x14ac:dyDescent="0.25">
      <c r="A358" s="368"/>
      <c r="B358" s="369"/>
      <c r="C358" s="117" t="s">
        <v>71</v>
      </c>
      <c r="D358" s="117" t="s">
        <v>72</v>
      </c>
      <c r="E358" s="163"/>
      <c r="F358" s="163">
        <f t="shared" si="439"/>
        <v>0</v>
      </c>
      <c r="G358" s="403"/>
      <c r="H358" s="405"/>
      <c r="I358" s="161"/>
      <c r="J358" s="161">
        <f t="shared" ref="J358" si="451">I358*1.12</f>
        <v>0</v>
      </c>
      <c r="K358" s="397"/>
      <c r="L358" s="397"/>
      <c r="M358" s="373"/>
      <c r="N358" s="127">
        <f t="shared" si="440"/>
        <v>3533394044.9999995</v>
      </c>
      <c r="O358" s="127">
        <f t="shared" si="440"/>
        <v>3957401330.3999996</v>
      </c>
      <c r="P358" s="120">
        <f t="shared" si="441"/>
        <v>3533394044.9999995</v>
      </c>
      <c r="Q358" s="162">
        <f>Q357</f>
        <v>3957401330.3999996</v>
      </c>
      <c r="R358" s="375"/>
      <c r="S358" s="377"/>
      <c r="T358" s="119"/>
      <c r="U358" s="119"/>
      <c r="V358" s="119"/>
      <c r="W358" s="119"/>
      <c r="X358" s="119"/>
      <c r="Y358" s="119"/>
      <c r="Z358" s="119"/>
      <c r="AA358" s="119"/>
      <c r="AB358" s="119"/>
      <c r="AC358" s="119">
        <f>AC359</f>
        <v>2590036.15325</v>
      </c>
      <c r="AD358" s="118">
        <f>AD359</f>
        <v>2900840.4916400001</v>
      </c>
      <c r="AE358" s="119"/>
      <c r="AF358" s="119">
        <f>AC358+Z358+W358+T358</f>
        <v>2590036.15325</v>
      </c>
      <c r="AG358" s="119">
        <f>AD358+AA358+X358+U358</f>
        <v>2900840.4916400001</v>
      </c>
      <c r="AH358" s="119"/>
      <c r="AI358" s="119">
        <f>AI359</f>
        <v>432225.23656249995</v>
      </c>
      <c r="AJ358" s="118">
        <f>AJ359</f>
        <v>484092.26494999998</v>
      </c>
      <c r="AK358" s="119"/>
      <c r="AL358" s="119">
        <f>AL359</f>
        <v>432225.23656249995</v>
      </c>
      <c r="AM358" s="118">
        <f>AM359</f>
        <v>484092.26494999998</v>
      </c>
      <c r="AN358" s="119"/>
      <c r="AO358" s="118">
        <f>AL358-AI358</f>
        <v>0</v>
      </c>
      <c r="AP358" s="118">
        <f>AO358*1.12</f>
        <v>0</v>
      </c>
      <c r="AQ358" s="118"/>
      <c r="AR358" s="121" t="str">
        <f>IF($AI$345=0,"",AL358/($AI$345/$AK$345*AN357))</f>
        <v/>
      </c>
      <c r="AS358" s="122">
        <f>AL358</f>
        <v>432225.23656249995</v>
      </c>
      <c r="AT358" s="122"/>
      <c r="AU358" s="122"/>
      <c r="AV358" s="118">
        <f>AV357</f>
        <v>3533394.0449999995</v>
      </c>
      <c r="AW358" s="118">
        <f t="shared" si="444"/>
        <v>3957401.3303999999</v>
      </c>
      <c r="AX358" s="118"/>
      <c r="AY358" s="118"/>
      <c r="AZ358" s="118"/>
      <c r="BA358" s="118"/>
      <c r="BB358" s="118"/>
      <c r="BC358" s="118"/>
      <c r="BD358" s="118"/>
      <c r="BE358" s="118"/>
      <c r="BF358" s="118"/>
      <c r="BG358" s="118"/>
      <c r="BH358" s="118"/>
      <c r="BI358" s="118"/>
      <c r="BJ358" s="118"/>
      <c r="BK358" s="118"/>
      <c r="BL358" s="118"/>
      <c r="BM358" s="100"/>
      <c r="BN358" s="100"/>
      <c r="BO358" s="248">
        <f>BO359</f>
        <v>479.03246000000001</v>
      </c>
      <c r="BP358" s="100"/>
      <c r="BQ358" s="100"/>
      <c r="BR358" s="100"/>
      <c r="BS358" s="100"/>
      <c r="BT358" s="100"/>
      <c r="BU358" s="97"/>
      <c r="BV358" s="97"/>
      <c r="BW358" s="386"/>
      <c r="BX358" s="386"/>
    </row>
    <row r="359" spans="1:76" ht="26.25" customHeight="1" x14ac:dyDescent="0.25">
      <c r="A359" s="368"/>
      <c r="B359" s="369"/>
      <c r="C359" s="124" t="s">
        <v>71</v>
      </c>
      <c r="D359" s="124" t="s">
        <v>73</v>
      </c>
      <c r="E359" s="167"/>
      <c r="F359" s="167">
        <f t="shared" si="439"/>
        <v>0</v>
      </c>
      <c r="G359" s="403"/>
      <c r="H359" s="405"/>
      <c r="I359" s="166"/>
      <c r="J359" s="166">
        <f>I359*1.12</f>
        <v>0</v>
      </c>
      <c r="K359" s="398"/>
      <c r="L359" s="398"/>
      <c r="M359" s="374"/>
      <c r="N359" s="127">
        <f t="shared" si="440"/>
        <v>3533394044.9999995</v>
      </c>
      <c r="O359" s="127">
        <f t="shared" si="440"/>
        <v>3957401330.3999996</v>
      </c>
      <c r="P359" s="127">
        <f t="shared" si="441"/>
        <v>3533394044.9999995</v>
      </c>
      <c r="Q359" s="232">
        <f>Q358</f>
        <v>3957401330.3999996</v>
      </c>
      <c r="R359" s="354"/>
      <c r="S359" s="378"/>
      <c r="T359" s="126"/>
      <c r="U359" s="126"/>
      <c r="V359" s="126"/>
      <c r="W359" s="126"/>
      <c r="X359" s="126"/>
      <c r="Y359" s="126"/>
      <c r="Z359" s="126"/>
      <c r="AA359" s="126"/>
      <c r="AB359" s="126"/>
      <c r="AC359" s="249">
        <f>(313838.32129/1.12)+329926.00702/1.12+352211.76524/1.12+76000/1.12+285883.73694/1.12+231944.56078/1.12+174110.34366/1.12+397236.84772/1.12+338231.16753/1.12+204809.45833/1.12+196648.28313/1.12</f>
        <v>2590036.15325</v>
      </c>
      <c r="AD359" s="125">
        <f>AC359*1.12</f>
        <v>2900840.4916400001</v>
      </c>
      <c r="AE359" s="126"/>
      <c r="AF359" s="126">
        <f>AC359+Z359+W359+T359</f>
        <v>2590036.15325</v>
      </c>
      <c r="AG359" s="126">
        <f>AD359+AA359+X359+U359</f>
        <v>2900840.4916400001</v>
      </c>
      <c r="AH359" s="126"/>
      <c r="AI359" s="126">
        <f>246887.06547/1.12+224801.60964/1.12+12403.58984/1.12</f>
        <v>432225.23656249995</v>
      </c>
      <c r="AJ359" s="125">
        <f>AI359*1.12</f>
        <v>484092.26494999998</v>
      </c>
      <c r="AK359" s="126"/>
      <c r="AL359" s="126">
        <f>246887.06547/1.12+224801.60964/1.12+12403.58984/1.12</f>
        <v>432225.23656249995</v>
      </c>
      <c r="AM359" s="125">
        <f>AL359*1.12</f>
        <v>484092.26494999998</v>
      </c>
      <c r="AN359" s="126"/>
      <c r="AO359" s="125">
        <f>AO358</f>
        <v>0</v>
      </c>
      <c r="AP359" s="125">
        <f>AP358</f>
        <v>0</v>
      </c>
      <c r="AQ359" s="125"/>
      <c r="AR359" s="128" t="str">
        <f>AR358</f>
        <v/>
      </c>
      <c r="AS359" s="129">
        <f>AL359</f>
        <v>432225.23656249995</v>
      </c>
      <c r="AT359" s="129"/>
      <c r="AU359" s="129"/>
      <c r="AV359" s="125">
        <f>AV358</f>
        <v>3533394.0449999995</v>
      </c>
      <c r="AW359" s="125">
        <f t="shared" si="444"/>
        <v>3957401.3303999999</v>
      </c>
      <c r="AX359" s="125"/>
      <c r="AY359" s="125"/>
      <c r="AZ359" s="125"/>
      <c r="BA359" s="125"/>
      <c r="BB359" s="125"/>
      <c r="BC359" s="125"/>
      <c r="BD359" s="125"/>
      <c r="BE359" s="125"/>
      <c r="BF359" s="118"/>
      <c r="BG359" s="125"/>
      <c r="BH359" s="125"/>
      <c r="BI359" s="125"/>
      <c r="BJ359" s="125"/>
      <c r="BK359" s="125"/>
      <c r="BL359" s="125"/>
      <c r="BM359" s="25"/>
      <c r="BN359" s="25"/>
      <c r="BO359" s="250">
        <v>479.03246000000001</v>
      </c>
      <c r="BP359" s="25"/>
      <c r="BQ359" s="25"/>
      <c r="BR359" s="25"/>
      <c r="BS359" s="25"/>
      <c r="BT359" s="25"/>
      <c r="BW359" s="386"/>
      <c r="BX359" s="386"/>
    </row>
    <row r="360" spans="1:76" x14ac:dyDescent="0.25">
      <c r="A360" s="368"/>
      <c r="B360" s="369"/>
      <c r="C360" s="193" t="s">
        <v>69</v>
      </c>
      <c r="D360" s="193" t="s">
        <v>70</v>
      </c>
      <c r="E360" s="194"/>
      <c r="F360" s="194">
        <f t="shared" si="439"/>
        <v>0</v>
      </c>
      <c r="G360" s="403"/>
      <c r="H360" s="405"/>
      <c r="I360" s="195"/>
      <c r="J360" s="195">
        <f>I360*1.12</f>
        <v>0</v>
      </c>
      <c r="K360" s="396" t="s">
        <v>124</v>
      </c>
      <c r="L360" s="399" t="s">
        <v>179</v>
      </c>
      <c r="M360" s="372" t="s">
        <v>96</v>
      </c>
      <c r="N360" s="196">
        <f t="shared" si="440"/>
        <v>176787482.0535714</v>
      </c>
      <c r="O360" s="196">
        <f t="shared" si="440"/>
        <v>198001979.90000001</v>
      </c>
      <c r="P360" s="196">
        <f t="shared" si="441"/>
        <v>176787482.0535714</v>
      </c>
      <c r="Q360" s="247">
        <v>198001979.90000001</v>
      </c>
      <c r="R360" s="353" t="s">
        <v>178</v>
      </c>
      <c r="S360" s="376">
        <v>79</v>
      </c>
      <c r="T360" s="198"/>
      <c r="U360" s="198"/>
      <c r="V360" s="198"/>
      <c r="W360" s="198"/>
      <c r="X360" s="198"/>
      <c r="Y360" s="198"/>
      <c r="Z360" s="198"/>
      <c r="AA360" s="198"/>
      <c r="AB360" s="198"/>
      <c r="AC360" s="198">
        <v>245656</v>
      </c>
      <c r="AD360" s="199">
        <f t="shared" ref="AD360:AD375" si="452">AC360*1.12</f>
        <v>275134.72000000003</v>
      </c>
      <c r="AE360" s="198">
        <f>15+15+15+12+12+10</f>
        <v>79</v>
      </c>
      <c r="AF360" s="198">
        <f>Z360+AC360+W360+T360</f>
        <v>245656</v>
      </c>
      <c r="AG360" s="198">
        <f>AA360+AD360+X360+U360</f>
        <v>275134.72000000003</v>
      </c>
      <c r="AH360" s="198">
        <f>AB360+AE360+Y360+V360</f>
        <v>79</v>
      </c>
      <c r="AI360" s="198"/>
      <c r="AJ360" s="199">
        <f t="shared" ref="AJ360:AJ374" si="453">AI360*1.12</f>
        <v>0</v>
      </c>
      <c r="AK360" s="198"/>
      <c r="AL360" s="198"/>
      <c r="AM360" s="199">
        <f t="shared" si="447"/>
        <v>0</v>
      </c>
      <c r="AN360" s="198"/>
      <c r="AO360" s="199"/>
      <c r="AP360" s="199"/>
      <c r="AQ360" s="199"/>
      <c r="AR360" s="200" t="str">
        <f>IF($AI$345=0,"",AL360/($AI$345/$AK$345*AN360))</f>
        <v/>
      </c>
      <c r="AS360" s="201"/>
      <c r="AT360" s="201"/>
      <c r="AU360" s="201"/>
      <c r="AV360" s="237">
        <f>I345-AV357-AV354-AV351-AV348-AV345+(AZ345+AZ348+AZ351+AZ354+AZ357)</f>
        <v>-5653430.4745178567</v>
      </c>
      <c r="AW360" s="199">
        <f t="shared" si="444"/>
        <v>-6331842.1314599998</v>
      </c>
      <c r="AX360" s="199">
        <f>H345-AX357-AX354-AX351-AX348-AX345</f>
        <v>-2400</v>
      </c>
      <c r="AY360" s="199"/>
      <c r="AZ360" s="199"/>
      <c r="BA360" s="199"/>
      <c r="BB360" s="199"/>
      <c r="BC360" s="199"/>
      <c r="BD360" s="199"/>
      <c r="BE360" s="199"/>
      <c r="BF360" s="199"/>
      <c r="BG360" s="199"/>
      <c r="BH360" s="199"/>
      <c r="BI360" s="199"/>
      <c r="BJ360" s="199"/>
      <c r="BK360" s="199"/>
      <c r="BL360" s="199"/>
      <c r="BM360" s="202"/>
      <c r="BN360" s="202"/>
      <c r="BO360" s="202"/>
      <c r="BP360" s="202"/>
      <c r="BQ360" s="202"/>
      <c r="BR360" s="202"/>
      <c r="BS360" s="202"/>
      <c r="BT360" s="202"/>
      <c r="BU360" s="204"/>
      <c r="BV360" s="204"/>
      <c r="BW360" s="386"/>
      <c r="BX360" s="386"/>
    </row>
    <row r="361" spans="1:76" x14ac:dyDescent="0.25">
      <c r="A361" s="368"/>
      <c r="B361" s="369"/>
      <c r="C361" s="117" t="s">
        <v>71</v>
      </c>
      <c r="D361" s="117" t="s">
        <v>72</v>
      </c>
      <c r="E361" s="163"/>
      <c r="F361" s="163">
        <f t="shared" si="439"/>
        <v>0</v>
      </c>
      <c r="G361" s="403"/>
      <c r="H361" s="405"/>
      <c r="I361" s="161"/>
      <c r="J361" s="161">
        <f t="shared" ref="J361" si="454">I361*1.12</f>
        <v>0</v>
      </c>
      <c r="K361" s="397"/>
      <c r="L361" s="400"/>
      <c r="M361" s="373"/>
      <c r="N361" s="127">
        <f t="shared" si="440"/>
        <v>176787482.0535714</v>
      </c>
      <c r="O361" s="127">
        <f t="shared" si="440"/>
        <v>198001979.90000001</v>
      </c>
      <c r="P361" s="120">
        <f t="shared" si="441"/>
        <v>176787482.0535714</v>
      </c>
      <c r="Q361" s="162">
        <f>Q360</f>
        <v>198001979.90000001</v>
      </c>
      <c r="R361" s="375"/>
      <c r="S361" s="377"/>
      <c r="T361" s="119"/>
      <c r="U361" s="119"/>
      <c r="V361" s="119"/>
      <c r="W361" s="119"/>
      <c r="X361" s="119"/>
      <c r="Y361" s="119"/>
      <c r="Z361" s="119"/>
      <c r="AA361" s="119"/>
      <c r="AB361" s="119"/>
      <c r="AC361" s="119">
        <f>AC362</f>
        <v>111063.90398214274</v>
      </c>
      <c r="AD361" s="118">
        <f t="shared" si="452"/>
        <v>124391.57245999988</v>
      </c>
      <c r="AE361" s="119"/>
      <c r="AF361" s="119">
        <f>AC361+Z361+W361+T361</f>
        <v>111063.90398214274</v>
      </c>
      <c r="AG361" s="119">
        <f>AD361+AA361+X361+U361</f>
        <v>124391.57245999988</v>
      </c>
      <c r="AH361" s="119"/>
      <c r="AI361" s="119">
        <f>AI362</f>
        <v>46665.21983928571</v>
      </c>
      <c r="AJ361" s="118">
        <f t="shared" si="453"/>
        <v>52265.046219999997</v>
      </c>
      <c r="AK361" s="119"/>
      <c r="AL361" s="119">
        <f>AL362</f>
        <v>46665.21983928571</v>
      </c>
      <c r="AM361" s="118">
        <f t="shared" si="447"/>
        <v>52265.046219999997</v>
      </c>
      <c r="AN361" s="119"/>
      <c r="AO361" s="118">
        <f>AL361-AI361</f>
        <v>0</v>
      </c>
      <c r="AP361" s="118">
        <f>AO361*1.12</f>
        <v>0</v>
      </c>
      <c r="AQ361" s="118"/>
      <c r="AR361" s="121" t="str">
        <f>IF($AI$345=0,"",AL361/($AI$345/$AK$345*AN360))</f>
        <v/>
      </c>
      <c r="AS361" s="122">
        <f>AL361</f>
        <v>46665.21983928571</v>
      </c>
      <c r="AT361" s="122"/>
      <c r="AU361" s="122"/>
      <c r="AV361" s="118">
        <f>I346-AV358-AV355-AV352-AV349-AV346+(AZ345+AZ348+AZ351+AZ354+AZ357)</f>
        <v>-4722567.9745178567</v>
      </c>
      <c r="AW361" s="118">
        <f t="shared" si="444"/>
        <v>-5289276.1314599998</v>
      </c>
      <c r="AX361" s="118"/>
      <c r="AY361" s="118"/>
      <c r="AZ361" s="118"/>
      <c r="BA361" s="118"/>
      <c r="BB361" s="118"/>
      <c r="BC361" s="118"/>
      <c r="BD361" s="118"/>
      <c r="BE361" s="118"/>
      <c r="BF361" s="118"/>
      <c r="BG361" s="118"/>
      <c r="BH361" s="118"/>
      <c r="BI361" s="118"/>
      <c r="BJ361" s="118"/>
      <c r="BK361" s="118"/>
      <c r="BL361" s="118"/>
      <c r="BM361" s="100"/>
      <c r="BN361" s="100"/>
      <c r="BO361" s="248"/>
      <c r="BP361" s="100"/>
      <c r="BQ361" s="100"/>
      <c r="BR361" s="100"/>
      <c r="BS361" s="100"/>
      <c r="BT361" s="100"/>
      <c r="BU361" s="97"/>
      <c r="BV361" s="97"/>
      <c r="BW361" s="386"/>
      <c r="BX361" s="386"/>
    </row>
    <row r="362" spans="1:76" x14ac:dyDescent="0.25">
      <c r="A362" s="368"/>
      <c r="B362" s="369"/>
      <c r="C362" s="124" t="s">
        <v>71</v>
      </c>
      <c r="D362" s="124" t="s">
        <v>73</v>
      </c>
      <c r="E362" s="167"/>
      <c r="F362" s="167">
        <f t="shared" si="439"/>
        <v>0</v>
      </c>
      <c r="G362" s="403"/>
      <c r="H362" s="405"/>
      <c r="I362" s="166"/>
      <c r="J362" s="166">
        <f>I362*1.12</f>
        <v>0</v>
      </c>
      <c r="K362" s="398"/>
      <c r="L362" s="401"/>
      <c r="M362" s="374"/>
      <c r="N362" s="127">
        <f t="shared" si="440"/>
        <v>176787482.0535714</v>
      </c>
      <c r="O362" s="127">
        <f t="shared" si="440"/>
        <v>198001979.90000001</v>
      </c>
      <c r="P362" s="127">
        <f t="shared" si="441"/>
        <v>176787482.0535714</v>
      </c>
      <c r="Q362" s="232">
        <f>Q361</f>
        <v>198001979.90000001</v>
      </c>
      <c r="R362" s="354"/>
      <c r="S362" s="378"/>
      <c r="T362" s="126"/>
      <c r="U362" s="126"/>
      <c r="V362" s="126"/>
      <c r="W362" s="126"/>
      <c r="X362" s="126"/>
      <c r="Y362" s="126"/>
      <c r="Z362" s="126"/>
      <c r="AA362" s="126"/>
      <c r="AB362" s="126"/>
      <c r="AC362" s="249">
        <f>30807.4406799999/1.12+35510.94306/1.12+33183.07197/1.12+24890.11675/1.12</f>
        <v>111063.90398214274</v>
      </c>
      <c r="AD362" s="125">
        <f t="shared" si="452"/>
        <v>124391.57245999988</v>
      </c>
      <c r="AE362" s="126"/>
      <c r="AF362" s="126">
        <f>AC362+Z362+W362+T362</f>
        <v>111063.90398214274</v>
      </c>
      <c r="AG362" s="126">
        <f>AD362+AA362+X362+U362</f>
        <v>124391.57245999988</v>
      </c>
      <c r="AH362" s="126"/>
      <c r="AI362" s="126">
        <f>26213.98703/1.12+26051.05919/1.12</f>
        <v>46665.21983928571</v>
      </c>
      <c r="AJ362" s="125">
        <f t="shared" si="453"/>
        <v>52265.046219999997</v>
      </c>
      <c r="AK362" s="126"/>
      <c r="AL362" s="126">
        <f>26213.98703/1.12+26051.05919/1.12</f>
        <v>46665.21983928571</v>
      </c>
      <c r="AM362" s="125">
        <f t="shared" si="447"/>
        <v>52265.046219999997</v>
      </c>
      <c r="AN362" s="126"/>
      <c r="AO362" s="125">
        <f>AO361</f>
        <v>0</v>
      </c>
      <c r="AP362" s="125">
        <f>AP361</f>
        <v>0</v>
      </c>
      <c r="AQ362" s="125"/>
      <c r="AR362" s="128" t="str">
        <f>AR361</f>
        <v/>
      </c>
      <c r="AS362" s="129">
        <f>AL362</f>
        <v>46665.21983928571</v>
      </c>
      <c r="AT362" s="129"/>
      <c r="AU362" s="129"/>
      <c r="AV362" s="125">
        <f>AV361</f>
        <v>-4722567.9745178567</v>
      </c>
      <c r="AW362" s="125">
        <f t="shared" si="444"/>
        <v>-5289276.1314599998</v>
      </c>
      <c r="AX362" s="125"/>
      <c r="AY362" s="125"/>
      <c r="AZ362" s="125"/>
      <c r="BA362" s="125"/>
      <c r="BB362" s="125"/>
      <c r="BC362" s="125"/>
      <c r="BD362" s="125"/>
      <c r="BE362" s="125"/>
      <c r="BF362" s="118"/>
      <c r="BG362" s="125"/>
      <c r="BH362" s="125"/>
      <c r="BI362" s="125"/>
      <c r="BJ362" s="125"/>
      <c r="BK362" s="125"/>
      <c r="BL362" s="125"/>
      <c r="BM362" s="25"/>
      <c r="BN362" s="25"/>
      <c r="BO362" s="250"/>
      <c r="BP362" s="25"/>
      <c r="BQ362" s="25"/>
      <c r="BR362" s="25"/>
      <c r="BS362" s="25"/>
      <c r="BT362" s="25"/>
      <c r="BW362" s="386"/>
      <c r="BX362" s="386"/>
    </row>
    <row r="363" spans="1:76" x14ac:dyDescent="0.25">
      <c r="A363" s="368"/>
      <c r="B363" s="369"/>
      <c r="C363" s="193" t="s">
        <v>69</v>
      </c>
      <c r="D363" s="193" t="s">
        <v>70</v>
      </c>
      <c r="E363" s="194"/>
      <c r="F363" s="194">
        <f t="shared" si="439"/>
        <v>0</v>
      </c>
      <c r="G363" s="403"/>
      <c r="H363" s="405"/>
      <c r="I363" s="195"/>
      <c r="J363" s="195">
        <f>I363*1.12</f>
        <v>0</v>
      </c>
      <c r="K363" s="396" t="s">
        <v>115</v>
      </c>
      <c r="L363" s="399" t="s">
        <v>180</v>
      </c>
      <c r="M363" s="372" t="s">
        <v>96</v>
      </c>
      <c r="N363" s="196">
        <f t="shared" si="440"/>
        <v>867518905.92857134</v>
      </c>
      <c r="O363" s="196">
        <f t="shared" si="440"/>
        <v>971621174.63999999</v>
      </c>
      <c r="P363" s="196">
        <f t="shared" si="441"/>
        <v>867518905.92857134</v>
      </c>
      <c r="Q363" s="247">
        <v>971621174.63999999</v>
      </c>
      <c r="R363" s="353" t="s">
        <v>178</v>
      </c>
      <c r="S363" s="376">
        <v>396</v>
      </c>
      <c r="T363" s="198"/>
      <c r="U363" s="198"/>
      <c r="V363" s="198"/>
      <c r="W363" s="198"/>
      <c r="X363" s="198"/>
      <c r="Y363" s="198"/>
      <c r="Z363" s="198"/>
      <c r="AA363" s="198"/>
      <c r="AB363" s="198"/>
      <c r="AC363" s="198">
        <v>1082940</v>
      </c>
      <c r="AD363" s="199">
        <f t="shared" si="452"/>
        <v>1212892.8</v>
      </c>
      <c r="AE363" s="198">
        <f>69+61+57+65+35+109</f>
        <v>396</v>
      </c>
      <c r="AF363" s="198">
        <f>Z363+AC363</f>
        <v>1082940</v>
      </c>
      <c r="AG363" s="198">
        <f t="shared" ref="AG363:AH363" si="455">AA363+AD363</f>
        <v>1212892.8</v>
      </c>
      <c r="AH363" s="198">
        <f t="shared" si="455"/>
        <v>396</v>
      </c>
      <c r="AI363" s="198"/>
      <c r="AJ363" s="199">
        <f t="shared" si="453"/>
        <v>0</v>
      </c>
      <c r="AK363" s="198"/>
      <c r="AL363" s="198"/>
      <c r="AM363" s="199">
        <f t="shared" si="447"/>
        <v>0</v>
      </c>
      <c r="AN363" s="198"/>
      <c r="AO363" s="199"/>
      <c r="AP363" s="199"/>
      <c r="AQ363" s="199"/>
      <c r="AR363" s="200" t="str">
        <f>IF($AI$345=0,"",AL363/($AI$345/$AK$345*AN363))</f>
        <v/>
      </c>
      <c r="AS363" s="201"/>
      <c r="AT363" s="201"/>
      <c r="AU363" s="201"/>
      <c r="AV363" s="199">
        <f>AL363</f>
        <v>0</v>
      </c>
      <c r="AW363" s="199">
        <f t="shared" si="444"/>
        <v>0</v>
      </c>
      <c r="AX363" s="199">
        <f>S363</f>
        <v>396</v>
      </c>
      <c r="AY363" s="199"/>
      <c r="AZ363" s="199"/>
      <c r="BA363" s="199"/>
      <c r="BB363" s="199"/>
      <c r="BC363" s="199"/>
      <c r="BD363" s="199"/>
      <c r="BE363" s="199"/>
      <c r="BF363" s="199"/>
      <c r="BG363" s="199"/>
      <c r="BH363" s="199"/>
      <c r="BI363" s="199"/>
      <c r="BJ363" s="199"/>
      <c r="BK363" s="199"/>
      <c r="BL363" s="199"/>
      <c r="BM363" s="202"/>
      <c r="BN363" s="202"/>
      <c r="BO363" s="202"/>
      <c r="BP363" s="202"/>
      <c r="BQ363" s="202"/>
      <c r="BR363" s="202"/>
      <c r="BS363" s="202"/>
      <c r="BT363" s="202"/>
      <c r="BU363" s="204"/>
      <c r="BV363" s="204"/>
      <c r="BW363" s="386"/>
      <c r="BX363" s="386"/>
    </row>
    <row r="364" spans="1:76" x14ac:dyDescent="0.25">
      <c r="A364" s="368"/>
      <c r="B364" s="369"/>
      <c r="C364" s="117" t="s">
        <v>71</v>
      </c>
      <c r="D364" s="117" t="s">
        <v>72</v>
      </c>
      <c r="E364" s="163"/>
      <c r="F364" s="163">
        <f t="shared" si="439"/>
        <v>0</v>
      </c>
      <c r="G364" s="403"/>
      <c r="H364" s="405"/>
      <c r="I364" s="161"/>
      <c r="J364" s="161">
        <f t="shared" ref="J364" si="456">I364*1.12</f>
        <v>0</v>
      </c>
      <c r="K364" s="397"/>
      <c r="L364" s="400"/>
      <c r="M364" s="373"/>
      <c r="N364" s="127">
        <f t="shared" si="440"/>
        <v>867518905.92857134</v>
      </c>
      <c r="O364" s="127">
        <f t="shared" si="440"/>
        <v>971621174.63999999</v>
      </c>
      <c r="P364" s="120">
        <f t="shared" si="441"/>
        <v>867518905.92857134</v>
      </c>
      <c r="Q364" s="162">
        <f>Q363</f>
        <v>971621174.63999999</v>
      </c>
      <c r="R364" s="375"/>
      <c r="S364" s="377"/>
      <c r="T364" s="119"/>
      <c r="U364" s="119"/>
      <c r="V364" s="119"/>
      <c r="W364" s="119"/>
      <c r="X364" s="119"/>
      <c r="Y364" s="119"/>
      <c r="Z364" s="119"/>
      <c r="AA364" s="119"/>
      <c r="AB364" s="119"/>
      <c r="AC364" s="119">
        <f>AC365</f>
        <v>366749.47530357144</v>
      </c>
      <c r="AD364" s="118">
        <f t="shared" si="452"/>
        <v>410759.41234000004</v>
      </c>
      <c r="AE364" s="119"/>
      <c r="AF364" s="119">
        <f>AC364+Z364</f>
        <v>366749.47530357144</v>
      </c>
      <c r="AG364" s="119">
        <f t="shared" ref="AG364" si="457">AD364+AA364</f>
        <v>410759.41234000004</v>
      </c>
      <c r="AH364" s="119"/>
      <c r="AI364" s="119">
        <f>AI365</f>
        <v>274093.92443749995</v>
      </c>
      <c r="AJ364" s="118">
        <f t="shared" si="453"/>
        <v>306985.19536999997</v>
      </c>
      <c r="AK364" s="119"/>
      <c r="AL364" s="119">
        <f>AL365</f>
        <v>274093.92443749995</v>
      </c>
      <c r="AM364" s="118">
        <f t="shared" si="447"/>
        <v>306985.19536999997</v>
      </c>
      <c r="AN364" s="119"/>
      <c r="AO364" s="118">
        <f>AL364-AI364</f>
        <v>0</v>
      </c>
      <c r="AP364" s="118">
        <f>AO364*1.12</f>
        <v>0</v>
      </c>
      <c r="AQ364" s="118"/>
      <c r="AR364" s="121" t="str">
        <f>IF($AI$345=0,"",AL364/($AI$345/$AK$345*AN363))</f>
        <v/>
      </c>
      <c r="AS364" s="122">
        <f>AL364</f>
        <v>274093.92443749995</v>
      </c>
      <c r="AT364" s="122"/>
      <c r="AU364" s="122"/>
      <c r="AV364" s="118">
        <f>AL364</f>
        <v>274093.92443749995</v>
      </c>
      <c r="AW364" s="118">
        <f t="shared" si="444"/>
        <v>306985.19536999997</v>
      </c>
      <c r="AX364" s="118"/>
      <c r="AY364" s="118"/>
      <c r="AZ364" s="118"/>
      <c r="BA364" s="118"/>
      <c r="BB364" s="118"/>
      <c r="BC364" s="118"/>
      <c r="BD364" s="118"/>
      <c r="BE364" s="118"/>
      <c r="BF364" s="118"/>
      <c r="BG364" s="118"/>
      <c r="BH364" s="118"/>
      <c r="BI364" s="118"/>
      <c r="BJ364" s="118"/>
      <c r="BK364" s="118"/>
      <c r="BL364" s="118"/>
      <c r="BM364" s="100"/>
      <c r="BN364" s="100"/>
      <c r="BO364" s="100"/>
      <c r="BP364" s="100"/>
      <c r="BQ364" s="100"/>
      <c r="BR364" s="100"/>
      <c r="BS364" s="100"/>
      <c r="BT364" s="100"/>
      <c r="BU364" s="97"/>
      <c r="BV364" s="97"/>
      <c r="BW364" s="386"/>
      <c r="BX364" s="386"/>
    </row>
    <row r="365" spans="1:76" x14ac:dyDescent="0.25">
      <c r="A365" s="368"/>
      <c r="B365" s="369"/>
      <c r="C365" s="124" t="s">
        <v>71</v>
      </c>
      <c r="D365" s="124" t="s">
        <v>73</v>
      </c>
      <c r="E365" s="167"/>
      <c r="F365" s="167">
        <f t="shared" si="439"/>
        <v>0</v>
      </c>
      <c r="G365" s="403"/>
      <c r="H365" s="405"/>
      <c r="I365" s="166"/>
      <c r="J365" s="166">
        <f>I365*1.12</f>
        <v>0</v>
      </c>
      <c r="K365" s="398"/>
      <c r="L365" s="401"/>
      <c r="M365" s="374"/>
      <c r="N365" s="127">
        <f t="shared" si="440"/>
        <v>867518905.92857134</v>
      </c>
      <c r="O365" s="127">
        <f t="shared" si="440"/>
        <v>971621174.63999999</v>
      </c>
      <c r="P365" s="127">
        <f t="shared" si="441"/>
        <v>867518905.92857134</v>
      </c>
      <c r="Q365" s="232">
        <f>Q364</f>
        <v>971621174.63999999</v>
      </c>
      <c r="R365" s="354"/>
      <c r="S365" s="378"/>
      <c r="T365" s="126"/>
      <c r="U365" s="126"/>
      <c r="V365" s="126"/>
      <c r="W365" s="126"/>
      <c r="X365" s="126"/>
      <c r="Y365" s="126"/>
      <c r="Z365" s="126"/>
      <c r="AA365" s="126"/>
      <c r="AB365" s="126"/>
      <c r="AC365" s="249">
        <f>30000/1.12+76984.7101/1.12+10677.51681/1.12+93394.47555/1.12+82754.02564/1.12+127626.20105/1.12-10677.51681/1.12</f>
        <v>366749.47530357144</v>
      </c>
      <c r="AD365" s="125">
        <f t="shared" si="452"/>
        <v>410759.41234000004</v>
      </c>
      <c r="AE365" s="126"/>
      <c r="AF365" s="126">
        <f>AC365+Z365</f>
        <v>366749.47530357144</v>
      </c>
      <c r="AG365" s="126">
        <f>AD365+AA365</f>
        <v>410759.41234000004</v>
      </c>
      <c r="AH365" s="126"/>
      <c r="AI365" s="126">
        <f>60393.22109/1.12+246591.97428/1.12</f>
        <v>274093.92443749995</v>
      </c>
      <c r="AJ365" s="125">
        <f t="shared" si="453"/>
        <v>306985.19536999997</v>
      </c>
      <c r="AK365" s="126"/>
      <c r="AL365" s="126">
        <f>60393.22109/1.12+246591.97428/1.12</f>
        <v>274093.92443749995</v>
      </c>
      <c r="AM365" s="125">
        <f t="shared" si="447"/>
        <v>306985.19536999997</v>
      </c>
      <c r="AN365" s="126"/>
      <c r="AO365" s="125">
        <f>AO364</f>
        <v>0</v>
      </c>
      <c r="AP365" s="125">
        <f>AP364</f>
        <v>0</v>
      </c>
      <c r="AQ365" s="125"/>
      <c r="AR365" s="128" t="str">
        <f>AR364</f>
        <v/>
      </c>
      <c r="AS365" s="129">
        <f>AL365</f>
        <v>274093.92443749995</v>
      </c>
      <c r="AT365" s="129"/>
      <c r="AU365" s="129"/>
      <c r="AV365" s="125">
        <f>AV364</f>
        <v>274093.92443749995</v>
      </c>
      <c r="AW365" s="125">
        <f t="shared" si="444"/>
        <v>306985.19536999997</v>
      </c>
      <c r="AX365" s="125"/>
      <c r="AY365" s="125"/>
      <c r="AZ365" s="125"/>
      <c r="BA365" s="125"/>
      <c r="BB365" s="125"/>
      <c r="BC365" s="125"/>
      <c r="BD365" s="125"/>
      <c r="BE365" s="125"/>
      <c r="BF365" s="118"/>
      <c r="BG365" s="125"/>
      <c r="BH365" s="125"/>
      <c r="BI365" s="125"/>
      <c r="BJ365" s="125"/>
      <c r="BK365" s="125"/>
      <c r="BL365" s="125"/>
      <c r="BM365" s="25"/>
      <c r="BN365" s="25"/>
      <c r="BO365" s="25"/>
      <c r="BP365" s="25"/>
      <c r="BQ365" s="25"/>
      <c r="BR365" s="25"/>
      <c r="BS365" s="25"/>
      <c r="BT365" s="25"/>
      <c r="BW365" s="386"/>
      <c r="BX365" s="386"/>
    </row>
    <row r="366" spans="1:76" x14ac:dyDescent="0.25">
      <c r="A366" s="368"/>
      <c r="B366" s="369"/>
      <c r="C366" s="193" t="s">
        <v>69</v>
      </c>
      <c r="D366" s="193" t="s">
        <v>70</v>
      </c>
      <c r="E366" s="194"/>
      <c r="F366" s="194">
        <f t="shared" si="439"/>
        <v>0</v>
      </c>
      <c r="G366" s="403"/>
      <c r="H366" s="405"/>
      <c r="I366" s="195"/>
      <c r="J366" s="195">
        <f>I366*1.12</f>
        <v>0</v>
      </c>
      <c r="K366" s="396" t="s">
        <v>173</v>
      </c>
      <c r="L366" s="396" t="s">
        <v>181</v>
      </c>
      <c r="M366" s="372" t="s">
        <v>96</v>
      </c>
      <c r="N366" s="196">
        <f t="shared" si="440"/>
        <v>349853122.38392854</v>
      </c>
      <c r="O366" s="196">
        <f t="shared" si="440"/>
        <v>391835497.06999999</v>
      </c>
      <c r="P366" s="196">
        <f t="shared" si="441"/>
        <v>349853122.38392854</v>
      </c>
      <c r="Q366" s="247">
        <v>391835497.06999999</v>
      </c>
      <c r="R366" s="353" t="s">
        <v>118</v>
      </c>
      <c r="S366" s="376">
        <v>158</v>
      </c>
      <c r="T366" s="198"/>
      <c r="U366" s="198"/>
      <c r="V366" s="198"/>
      <c r="W366" s="198"/>
      <c r="X366" s="198"/>
      <c r="Y366" s="198"/>
      <c r="Z366" s="198"/>
      <c r="AA366" s="198"/>
      <c r="AB366" s="198"/>
      <c r="AC366" s="198">
        <v>348286</v>
      </c>
      <c r="AD366" s="199">
        <f t="shared" si="452"/>
        <v>390080.32000000007</v>
      </c>
      <c r="AE366" s="198">
        <f>30+40+18+20+20+30</f>
        <v>158</v>
      </c>
      <c r="AF366" s="198">
        <f>Z366+AC366</f>
        <v>348286</v>
      </c>
      <c r="AG366" s="198">
        <f t="shared" ref="AG366:AH366" si="458">AA366+AD366</f>
        <v>390080.32000000007</v>
      </c>
      <c r="AH366" s="198">
        <f t="shared" si="458"/>
        <v>158</v>
      </c>
      <c r="AI366" s="198"/>
      <c r="AJ366" s="199">
        <f t="shared" si="453"/>
        <v>0</v>
      </c>
      <c r="AK366" s="198"/>
      <c r="AL366" s="198"/>
      <c r="AM366" s="199">
        <f t="shared" si="447"/>
        <v>0</v>
      </c>
      <c r="AN366" s="198"/>
      <c r="AO366" s="199"/>
      <c r="AP366" s="199"/>
      <c r="AQ366" s="199"/>
      <c r="AR366" s="200" t="str">
        <f>IF($AI$345=0,"",AL366/($AI$345/$AK$345*AN366))</f>
        <v/>
      </c>
      <c r="AS366" s="201"/>
      <c r="AT366" s="201"/>
      <c r="AU366" s="201"/>
      <c r="AV366" s="199"/>
      <c r="AW366" s="199">
        <f t="shared" si="444"/>
        <v>0</v>
      </c>
      <c r="AX366" s="199">
        <f>S366</f>
        <v>158</v>
      </c>
      <c r="AY366" s="199"/>
      <c r="AZ366" s="199"/>
      <c r="BA366" s="199"/>
      <c r="BB366" s="199"/>
      <c r="BC366" s="199"/>
      <c r="BD366" s="199"/>
      <c r="BE366" s="199"/>
      <c r="BF366" s="199"/>
      <c r="BG366" s="199"/>
      <c r="BH366" s="199"/>
      <c r="BI366" s="199"/>
      <c r="BJ366" s="199"/>
      <c r="BK366" s="199"/>
      <c r="BL366" s="199"/>
      <c r="BM366" s="202"/>
      <c r="BN366" s="202"/>
      <c r="BO366" s="202"/>
      <c r="BP366" s="202"/>
      <c r="BQ366" s="202"/>
      <c r="BR366" s="202"/>
      <c r="BS366" s="202"/>
      <c r="BT366" s="202"/>
      <c r="BU366" s="204"/>
      <c r="BV366" s="204"/>
      <c r="BW366" s="386"/>
      <c r="BX366" s="386"/>
    </row>
    <row r="367" spans="1:76" x14ac:dyDescent="0.25">
      <c r="A367" s="368"/>
      <c r="B367" s="369"/>
      <c r="C367" s="117" t="s">
        <v>71</v>
      </c>
      <c r="D367" s="117" t="s">
        <v>72</v>
      </c>
      <c r="E367" s="163"/>
      <c r="F367" s="163">
        <f t="shared" si="439"/>
        <v>0</v>
      </c>
      <c r="G367" s="403"/>
      <c r="H367" s="405"/>
      <c r="I367" s="161"/>
      <c r="J367" s="161">
        <f t="shared" ref="J367" si="459">I367*1.12</f>
        <v>0</v>
      </c>
      <c r="K367" s="397"/>
      <c r="L367" s="397"/>
      <c r="M367" s="373"/>
      <c r="N367" s="127">
        <f t="shared" si="440"/>
        <v>349853122.38392854</v>
      </c>
      <c r="O367" s="127">
        <f t="shared" si="440"/>
        <v>391835497.06999999</v>
      </c>
      <c r="P367" s="120">
        <f t="shared" si="441"/>
        <v>349853122.38392854</v>
      </c>
      <c r="Q367" s="162">
        <f>Q366</f>
        <v>391835497.06999999</v>
      </c>
      <c r="R367" s="375"/>
      <c r="S367" s="377"/>
      <c r="T367" s="119"/>
      <c r="U367" s="119"/>
      <c r="V367" s="119"/>
      <c r="W367" s="119"/>
      <c r="X367" s="119"/>
      <c r="Y367" s="119"/>
      <c r="Z367" s="119"/>
      <c r="AA367" s="119"/>
      <c r="AB367" s="119"/>
      <c r="AC367" s="119">
        <f>AC368</f>
        <v>184345.59171428566</v>
      </c>
      <c r="AD367" s="118">
        <f t="shared" si="452"/>
        <v>206467.06271999996</v>
      </c>
      <c r="AE367" s="119"/>
      <c r="AF367" s="119">
        <f>AC367+Z367</f>
        <v>184345.59171428566</v>
      </c>
      <c r="AG367" s="119">
        <f t="shared" ref="AG367" si="460">AD367+AA367</f>
        <v>206467.06271999996</v>
      </c>
      <c r="AH367" s="119"/>
      <c r="AI367" s="119">
        <f>AI368</f>
        <v>61606.950437499996</v>
      </c>
      <c r="AJ367" s="118">
        <f t="shared" si="453"/>
        <v>68999.784490000005</v>
      </c>
      <c r="AK367" s="119"/>
      <c r="AL367" s="119">
        <f>AL368</f>
        <v>61606.950437499996</v>
      </c>
      <c r="AM367" s="118">
        <f t="shared" si="447"/>
        <v>68999.784490000005</v>
      </c>
      <c r="AN367" s="119"/>
      <c r="AO367" s="118">
        <f>AL367-AI367</f>
        <v>0</v>
      </c>
      <c r="AP367" s="118">
        <f>AO367*1.12</f>
        <v>0</v>
      </c>
      <c r="AQ367" s="118"/>
      <c r="AR367" s="121" t="str">
        <f>IF($AI$345=0,"",AL367/($AI$345/$AK$345*AN366))</f>
        <v/>
      </c>
      <c r="AS367" s="122">
        <f>AL367</f>
        <v>61606.950437499996</v>
      </c>
      <c r="AT367" s="122"/>
      <c r="AU367" s="122"/>
      <c r="AV367" s="118">
        <f>AL367</f>
        <v>61606.950437499996</v>
      </c>
      <c r="AW367" s="118">
        <f t="shared" si="444"/>
        <v>68999.784490000005</v>
      </c>
      <c r="AX367" s="118"/>
      <c r="AY367" s="118"/>
      <c r="AZ367" s="118"/>
      <c r="BA367" s="118"/>
      <c r="BB367" s="118"/>
      <c r="BC367" s="118"/>
      <c r="BD367" s="118"/>
      <c r="BE367" s="118"/>
      <c r="BF367" s="118"/>
      <c r="BG367" s="118"/>
      <c r="BH367" s="118"/>
      <c r="BI367" s="118"/>
      <c r="BJ367" s="118"/>
      <c r="BK367" s="118"/>
      <c r="BL367" s="118"/>
      <c r="BM367" s="100"/>
      <c r="BN367" s="100"/>
      <c r="BO367" s="100"/>
      <c r="BP367" s="100"/>
      <c r="BQ367" s="100"/>
      <c r="BR367" s="100"/>
      <c r="BS367" s="100"/>
      <c r="BT367" s="100"/>
      <c r="BU367" s="97"/>
      <c r="BV367" s="97"/>
      <c r="BW367" s="386"/>
      <c r="BX367" s="386"/>
    </row>
    <row r="368" spans="1:76" x14ac:dyDescent="0.25">
      <c r="A368" s="368"/>
      <c r="B368" s="369"/>
      <c r="C368" s="124" t="s">
        <v>71</v>
      </c>
      <c r="D368" s="124" t="s">
        <v>73</v>
      </c>
      <c r="E368" s="167"/>
      <c r="F368" s="167">
        <f t="shared" si="439"/>
        <v>0</v>
      </c>
      <c r="G368" s="403"/>
      <c r="H368" s="405"/>
      <c r="I368" s="166"/>
      <c r="J368" s="166">
        <f>I368*1.12</f>
        <v>0</v>
      </c>
      <c r="K368" s="398"/>
      <c r="L368" s="398"/>
      <c r="M368" s="374"/>
      <c r="N368" s="127">
        <f t="shared" si="440"/>
        <v>349853122.38392854</v>
      </c>
      <c r="O368" s="127">
        <f t="shared" si="440"/>
        <v>391835497.06999999</v>
      </c>
      <c r="P368" s="127">
        <f t="shared" si="441"/>
        <v>349853122.38392854</v>
      </c>
      <c r="Q368" s="232">
        <f>Q367</f>
        <v>391835497.06999999</v>
      </c>
      <c r="R368" s="354"/>
      <c r="S368" s="378"/>
      <c r="T368" s="126"/>
      <c r="U368" s="126"/>
      <c r="V368" s="126"/>
      <c r="W368" s="126"/>
      <c r="X368" s="126"/>
      <c r="Y368" s="126"/>
      <c r="Z368" s="126"/>
      <c r="AA368" s="126"/>
      <c r="AB368" s="126"/>
      <c r="AC368" s="249">
        <f>55055.13955/1.12+60932.58259/1.12+52920.60202/1.12+37558.73856/1.12</f>
        <v>184345.59171428566</v>
      </c>
      <c r="AD368" s="125">
        <f t="shared" si="452"/>
        <v>206467.06271999996</v>
      </c>
      <c r="AE368" s="126"/>
      <c r="AF368" s="126">
        <f>AC368+Z368</f>
        <v>184345.59171428566</v>
      </c>
      <c r="AG368" s="126">
        <f>AD368+AA368</f>
        <v>206467.06271999996</v>
      </c>
      <c r="AH368" s="126"/>
      <c r="AI368" s="126">
        <f>34715.79086/1.12+34283.99363/1.12</f>
        <v>61606.950437499996</v>
      </c>
      <c r="AJ368" s="125">
        <f t="shared" si="453"/>
        <v>68999.784490000005</v>
      </c>
      <c r="AK368" s="126"/>
      <c r="AL368" s="126">
        <f>34715.79086/1.12+34283.99363/1.12</f>
        <v>61606.950437499996</v>
      </c>
      <c r="AM368" s="125">
        <f t="shared" si="447"/>
        <v>68999.784490000005</v>
      </c>
      <c r="AN368" s="126"/>
      <c r="AO368" s="125">
        <f>AO367</f>
        <v>0</v>
      </c>
      <c r="AP368" s="125">
        <f>AP367</f>
        <v>0</v>
      </c>
      <c r="AQ368" s="125"/>
      <c r="AR368" s="128" t="str">
        <f>AR367</f>
        <v/>
      </c>
      <c r="AS368" s="129">
        <f>AL368</f>
        <v>61606.950437499996</v>
      </c>
      <c r="AT368" s="129"/>
      <c r="AU368" s="129"/>
      <c r="AV368" s="125">
        <f>AV367</f>
        <v>61606.950437499996</v>
      </c>
      <c r="AW368" s="125">
        <f t="shared" si="444"/>
        <v>68999.784490000005</v>
      </c>
      <c r="AX368" s="125"/>
      <c r="AY368" s="125"/>
      <c r="AZ368" s="125"/>
      <c r="BA368" s="125"/>
      <c r="BB368" s="125"/>
      <c r="BC368" s="125"/>
      <c r="BD368" s="125"/>
      <c r="BE368" s="125"/>
      <c r="BF368" s="118"/>
      <c r="BG368" s="125"/>
      <c r="BH368" s="125"/>
      <c r="BI368" s="125"/>
      <c r="BJ368" s="125"/>
      <c r="BK368" s="125"/>
      <c r="BL368" s="125"/>
      <c r="BM368" s="25"/>
      <c r="BN368" s="25"/>
      <c r="BO368" s="25"/>
      <c r="BP368" s="25"/>
      <c r="BQ368" s="25"/>
      <c r="BR368" s="25"/>
      <c r="BS368" s="25"/>
      <c r="BT368" s="25"/>
      <c r="BW368" s="386"/>
      <c r="BX368" s="386"/>
    </row>
    <row r="369" spans="1:76" x14ac:dyDescent="0.25">
      <c r="A369" s="368"/>
      <c r="B369" s="369"/>
      <c r="C369" s="193" t="s">
        <v>69</v>
      </c>
      <c r="D369" s="193" t="s">
        <v>70</v>
      </c>
      <c r="E369" s="194"/>
      <c r="F369" s="194">
        <f t="shared" si="439"/>
        <v>0</v>
      </c>
      <c r="G369" s="403"/>
      <c r="H369" s="405"/>
      <c r="I369" s="195"/>
      <c r="J369" s="195">
        <f>I369*1.12</f>
        <v>0</v>
      </c>
      <c r="K369" s="396" t="s">
        <v>106</v>
      </c>
      <c r="L369" s="396" t="s">
        <v>182</v>
      </c>
      <c r="M369" s="372" t="s">
        <v>96</v>
      </c>
      <c r="N369" s="196">
        <f t="shared" si="440"/>
        <v>521387625.27678561</v>
      </c>
      <c r="O369" s="196">
        <f t="shared" si="440"/>
        <v>583954140.30999994</v>
      </c>
      <c r="P369" s="196">
        <f t="shared" si="441"/>
        <v>521387625.27678561</v>
      </c>
      <c r="Q369" s="247">
        <v>583954140.30999994</v>
      </c>
      <c r="R369" s="353" t="s">
        <v>118</v>
      </c>
      <c r="S369" s="376">
        <v>238</v>
      </c>
      <c r="T369" s="198"/>
      <c r="U369" s="198"/>
      <c r="V369" s="198"/>
      <c r="W369" s="198"/>
      <c r="X369" s="198"/>
      <c r="Y369" s="198"/>
      <c r="Z369" s="198"/>
      <c r="AA369" s="198"/>
      <c r="AB369" s="198"/>
      <c r="AC369" s="198">
        <v>439526</v>
      </c>
      <c r="AD369" s="199">
        <f t="shared" si="452"/>
        <v>492269.12000000005</v>
      </c>
      <c r="AE369" s="198">
        <f>18+47+46+46+42+39</f>
        <v>238</v>
      </c>
      <c r="AF369" s="198">
        <f>Z369+AC369</f>
        <v>439526</v>
      </c>
      <c r="AG369" s="198">
        <f t="shared" ref="AG369:AH369" si="461">AA369+AD369</f>
        <v>492269.12000000005</v>
      </c>
      <c r="AH369" s="198">
        <f t="shared" si="461"/>
        <v>238</v>
      </c>
      <c r="AI369" s="198"/>
      <c r="AJ369" s="199">
        <f t="shared" si="453"/>
        <v>0</v>
      </c>
      <c r="AK369" s="198"/>
      <c r="AL369" s="198"/>
      <c r="AM369" s="199">
        <f t="shared" si="447"/>
        <v>0</v>
      </c>
      <c r="AN369" s="198"/>
      <c r="AO369" s="199"/>
      <c r="AP369" s="199"/>
      <c r="AQ369" s="199"/>
      <c r="AR369" s="200" t="str">
        <f>IF($AI$345=0,"",AL369/($AI$345/$AK$345*AN369))</f>
        <v/>
      </c>
      <c r="AS369" s="201"/>
      <c r="AT369" s="201"/>
      <c r="AU369" s="201"/>
      <c r="AV369" s="199"/>
      <c r="AW369" s="199">
        <f t="shared" si="444"/>
        <v>0</v>
      </c>
      <c r="AX369" s="199">
        <f>S369</f>
        <v>238</v>
      </c>
      <c r="AY369" s="199"/>
      <c r="AZ369" s="199"/>
      <c r="BA369" s="199"/>
      <c r="BB369" s="199"/>
      <c r="BC369" s="199"/>
      <c r="BD369" s="199"/>
      <c r="BE369" s="199"/>
      <c r="BF369" s="199"/>
      <c r="BG369" s="199"/>
      <c r="BH369" s="199"/>
      <c r="BI369" s="199"/>
      <c r="BJ369" s="199"/>
      <c r="BK369" s="199"/>
      <c r="BL369" s="199"/>
      <c r="BM369" s="202"/>
      <c r="BN369" s="202"/>
      <c r="BO369" s="202"/>
      <c r="BP369" s="202"/>
      <c r="BQ369" s="202"/>
      <c r="BR369" s="202"/>
      <c r="BS369" s="202"/>
      <c r="BT369" s="202"/>
      <c r="BU369" s="204"/>
      <c r="BV369" s="204"/>
      <c r="BW369" s="386"/>
      <c r="BX369" s="386"/>
    </row>
    <row r="370" spans="1:76" x14ac:dyDescent="0.25">
      <c r="A370" s="368"/>
      <c r="B370" s="369"/>
      <c r="C370" s="117" t="s">
        <v>71</v>
      </c>
      <c r="D370" s="117" t="s">
        <v>72</v>
      </c>
      <c r="E370" s="163"/>
      <c r="F370" s="163">
        <f t="shared" si="439"/>
        <v>0</v>
      </c>
      <c r="G370" s="403"/>
      <c r="H370" s="405"/>
      <c r="I370" s="161"/>
      <c r="J370" s="161">
        <f t="shared" ref="J370" si="462">I370*1.12</f>
        <v>0</v>
      </c>
      <c r="K370" s="397"/>
      <c r="L370" s="397"/>
      <c r="M370" s="373"/>
      <c r="N370" s="127">
        <f t="shared" si="440"/>
        <v>521387625.27678561</v>
      </c>
      <c r="O370" s="127">
        <f t="shared" si="440"/>
        <v>583954140.30999994</v>
      </c>
      <c r="P370" s="120">
        <f t="shared" si="441"/>
        <v>521387625.27678561</v>
      </c>
      <c r="Q370" s="162">
        <f>Q369</f>
        <v>583954140.30999994</v>
      </c>
      <c r="R370" s="375"/>
      <c r="S370" s="377"/>
      <c r="T370" s="119"/>
      <c r="U370" s="119"/>
      <c r="V370" s="119"/>
      <c r="W370" s="119"/>
      <c r="X370" s="119"/>
      <c r="Y370" s="119"/>
      <c r="Z370" s="119"/>
      <c r="AA370" s="119"/>
      <c r="AB370" s="119"/>
      <c r="AC370" s="119">
        <f>AC371</f>
        <v>203372.14399999997</v>
      </c>
      <c r="AD370" s="118">
        <f t="shared" si="452"/>
        <v>227776.80127999999</v>
      </c>
      <c r="AE370" s="119"/>
      <c r="AF370" s="119">
        <f>AC370+Z370</f>
        <v>203372.14399999997</v>
      </c>
      <c r="AG370" s="119">
        <f t="shared" ref="AG370" si="463">AD370+AA370</f>
        <v>227776.80127999999</v>
      </c>
      <c r="AH370" s="119"/>
      <c r="AI370" s="119">
        <f>AI371</f>
        <v>84683.721330357133</v>
      </c>
      <c r="AJ370" s="118">
        <f t="shared" si="453"/>
        <v>94845.767890000003</v>
      </c>
      <c r="AK370" s="119"/>
      <c r="AL370" s="119">
        <f>AL371</f>
        <v>84683.721330357133</v>
      </c>
      <c r="AM370" s="118">
        <f t="shared" si="447"/>
        <v>94845.767890000003</v>
      </c>
      <c r="AN370" s="119"/>
      <c r="AO370" s="118">
        <f>AL370-AI370</f>
        <v>0</v>
      </c>
      <c r="AP370" s="118">
        <f>AO370*1.12</f>
        <v>0</v>
      </c>
      <c r="AQ370" s="118"/>
      <c r="AR370" s="121" t="str">
        <f>IF($AI$345=0,"",AL370/($AI$345/$AK$345*AN369))</f>
        <v/>
      </c>
      <c r="AS370" s="122">
        <f>AL370</f>
        <v>84683.721330357133</v>
      </c>
      <c r="AT370" s="122"/>
      <c r="AU370" s="122"/>
      <c r="AV370" s="118">
        <f>AL370</f>
        <v>84683.721330357133</v>
      </c>
      <c r="AW370" s="118">
        <f t="shared" si="444"/>
        <v>94845.767890000003</v>
      </c>
      <c r="AX370" s="118"/>
      <c r="AY370" s="118"/>
      <c r="AZ370" s="118"/>
      <c r="BA370" s="118"/>
      <c r="BB370" s="118"/>
      <c r="BC370" s="118"/>
      <c r="BD370" s="118"/>
      <c r="BE370" s="118"/>
      <c r="BF370" s="118"/>
      <c r="BG370" s="118"/>
      <c r="BH370" s="118"/>
      <c r="BI370" s="118"/>
      <c r="BJ370" s="118"/>
      <c r="BK370" s="118"/>
      <c r="BL370" s="118"/>
      <c r="BM370" s="100"/>
      <c r="BN370" s="100"/>
      <c r="BO370" s="100"/>
      <c r="BP370" s="100"/>
      <c r="BQ370" s="100"/>
      <c r="BR370" s="100"/>
      <c r="BS370" s="100"/>
      <c r="BT370" s="100"/>
      <c r="BU370" s="97"/>
      <c r="BV370" s="97"/>
      <c r="BW370" s="386"/>
      <c r="BX370" s="386"/>
    </row>
    <row r="371" spans="1:76" x14ac:dyDescent="0.25">
      <c r="A371" s="368"/>
      <c r="B371" s="369"/>
      <c r="C371" s="124" t="s">
        <v>71</v>
      </c>
      <c r="D371" s="124" t="s">
        <v>73</v>
      </c>
      <c r="E371" s="167"/>
      <c r="F371" s="167">
        <f t="shared" si="439"/>
        <v>0</v>
      </c>
      <c r="G371" s="403"/>
      <c r="H371" s="405"/>
      <c r="I371" s="166"/>
      <c r="J371" s="166">
        <f>I371*1.12</f>
        <v>0</v>
      </c>
      <c r="K371" s="398"/>
      <c r="L371" s="398"/>
      <c r="M371" s="374"/>
      <c r="N371" s="127">
        <f t="shared" si="440"/>
        <v>521387625.27678561</v>
      </c>
      <c r="O371" s="127">
        <f t="shared" si="440"/>
        <v>583954140.30999994</v>
      </c>
      <c r="P371" s="127">
        <f t="shared" si="441"/>
        <v>521387625.27678561</v>
      </c>
      <c r="Q371" s="232">
        <f>Q370</f>
        <v>583954140.30999994</v>
      </c>
      <c r="R371" s="354"/>
      <c r="S371" s="378"/>
      <c r="T371" s="126"/>
      <c r="U371" s="126"/>
      <c r="V371" s="126"/>
      <c r="W371" s="126"/>
      <c r="X371" s="126"/>
      <c r="Y371" s="126"/>
      <c r="Z371" s="126"/>
      <c r="AA371" s="126"/>
      <c r="AB371" s="126"/>
      <c r="AC371" s="249">
        <f>27893.17692/1.12+72059.07931/1.12+64064.72819/1.12+63759.81686/1.12</f>
        <v>203372.14399999997</v>
      </c>
      <c r="AD371" s="125">
        <f t="shared" si="452"/>
        <v>227776.80127999999</v>
      </c>
      <c r="AE371" s="126"/>
      <c r="AF371" s="126">
        <f>AC371+Z371</f>
        <v>203372.14399999997</v>
      </c>
      <c r="AG371" s="126">
        <f>AD371+AA371</f>
        <v>227776.80127999999</v>
      </c>
      <c r="AH371" s="126"/>
      <c r="AI371" s="126">
        <f>56626.01502/1.12+38219.75287/1.12</f>
        <v>84683.721330357133</v>
      </c>
      <c r="AJ371" s="125">
        <f t="shared" si="453"/>
        <v>94845.767890000003</v>
      </c>
      <c r="AK371" s="126"/>
      <c r="AL371" s="126">
        <f>56626.01502/1.12+38219.75287/1.12</f>
        <v>84683.721330357133</v>
      </c>
      <c r="AM371" s="125">
        <f t="shared" si="447"/>
        <v>94845.767890000003</v>
      </c>
      <c r="AN371" s="126"/>
      <c r="AO371" s="125">
        <f>AO370</f>
        <v>0</v>
      </c>
      <c r="AP371" s="125">
        <f>AP370</f>
        <v>0</v>
      </c>
      <c r="AQ371" s="125"/>
      <c r="AR371" s="128" t="str">
        <f>AR370</f>
        <v/>
      </c>
      <c r="AS371" s="129">
        <f>AL371</f>
        <v>84683.721330357133</v>
      </c>
      <c r="AT371" s="129"/>
      <c r="AU371" s="129"/>
      <c r="AV371" s="125">
        <f>AV370</f>
        <v>84683.721330357133</v>
      </c>
      <c r="AW371" s="125">
        <f t="shared" si="444"/>
        <v>94845.767890000003</v>
      </c>
      <c r="AX371" s="125"/>
      <c r="AY371" s="125"/>
      <c r="AZ371" s="125"/>
      <c r="BA371" s="125"/>
      <c r="BB371" s="125"/>
      <c r="BC371" s="125"/>
      <c r="BD371" s="125"/>
      <c r="BE371" s="125"/>
      <c r="BF371" s="118"/>
      <c r="BG371" s="125"/>
      <c r="BH371" s="125"/>
      <c r="BI371" s="125"/>
      <c r="BJ371" s="125"/>
      <c r="BK371" s="125"/>
      <c r="BL371" s="125"/>
      <c r="BM371" s="25"/>
      <c r="BN371" s="25"/>
      <c r="BO371" s="25"/>
      <c r="BP371" s="25"/>
      <c r="BQ371" s="25"/>
      <c r="BR371" s="25"/>
      <c r="BS371" s="25"/>
      <c r="BT371" s="25"/>
      <c r="BW371" s="386"/>
      <c r="BX371" s="386"/>
    </row>
    <row r="372" spans="1:76" x14ac:dyDescent="0.25">
      <c r="A372" s="368"/>
      <c r="B372" s="369"/>
      <c r="C372" s="193" t="s">
        <v>69</v>
      </c>
      <c r="D372" s="193" t="s">
        <v>70</v>
      </c>
      <c r="E372" s="194"/>
      <c r="F372" s="194">
        <f t="shared" si="439"/>
        <v>0</v>
      </c>
      <c r="G372" s="403"/>
      <c r="H372" s="405"/>
      <c r="I372" s="195"/>
      <c r="J372" s="195">
        <f>I372*1.12</f>
        <v>0</v>
      </c>
      <c r="K372" s="396" t="s">
        <v>106</v>
      </c>
      <c r="L372" s="396" t="s">
        <v>183</v>
      </c>
      <c r="M372" s="372" t="s">
        <v>96</v>
      </c>
      <c r="N372" s="196">
        <f t="shared" si="440"/>
        <v>269103290.47321427</v>
      </c>
      <c r="O372" s="196">
        <f t="shared" si="440"/>
        <v>301395685.32999998</v>
      </c>
      <c r="P372" s="196">
        <f t="shared" si="441"/>
        <v>269103290.47321427</v>
      </c>
      <c r="Q372" s="247">
        <v>301395685.32999998</v>
      </c>
      <c r="R372" s="353" t="s">
        <v>118</v>
      </c>
      <c r="S372" s="376">
        <v>119</v>
      </c>
      <c r="T372" s="198"/>
      <c r="U372" s="198"/>
      <c r="V372" s="198"/>
      <c r="W372" s="198"/>
      <c r="X372" s="198"/>
      <c r="Y372" s="198"/>
      <c r="Z372" s="198"/>
      <c r="AA372" s="198"/>
      <c r="AB372" s="198"/>
      <c r="AC372" s="198">
        <v>273536</v>
      </c>
      <c r="AD372" s="199">
        <f t="shared" si="452"/>
        <v>306360.32000000001</v>
      </c>
      <c r="AE372" s="198">
        <f>20+30+20+19+15+15</f>
        <v>119</v>
      </c>
      <c r="AF372" s="198">
        <f>Z372+AC372</f>
        <v>273536</v>
      </c>
      <c r="AG372" s="198">
        <f t="shared" ref="AG372:AH372" si="464">AA372+AD372</f>
        <v>306360.32000000001</v>
      </c>
      <c r="AH372" s="198">
        <f t="shared" si="464"/>
        <v>119</v>
      </c>
      <c r="AI372" s="198"/>
      <c r="AJ372" s="199">
        <f t="shared" si="453"/>
        <v>0</v>
      </c>
      <c r="AK372" s="198"/>
      <c r="AL372" s="198"/>
      <c r="AM372" s="199">
        <f t="shared" si="447"/>
        <v>0</v>
      </c>
      <c r="AN372" s="198"/>
      <c r="AO372" s="199"/>
      <c r="AP372" s="199"/>
      <c r="AQ372" s="199"/>
      <c r="AR372" s="200" t="str">
        <f>IF($AI$345=0,"",AL372/($AI$345/$AK$345*AN372))</f>
        <v/>
      </c>
      <c r="AS372" s="201"/>
      <c r="AT372" s="201"/>
      <c r="AU372" s="201"/>
      <c r="AV372" s="199"/>
      <c r="AW372" s="199">
        <f t="shared" si="444"/>
        <v>0</v>
      </c>
      <c r="AX372" s="199">
        <f>S372</f>
        <v>119</v>
      </c>
      <c r="AY372" s="199"/>
      <c r="AZ372" s="199"/>
      <c r="BA372" s="199"/>
      <c r="BB372" s="199"/>
      <c r="BC372" s="199"/>
      <c r="BD372" s="199"/>
      <c r="BE372" s="199"/>
      <c r="BF372" s="199"/>
      <c r="BG372" s="199"/>
      <c r="BH372" s="199"/>
      <c r="BI372" s="199"/>
      <c r="BJ372" s="199"/>
      <c r="BK372" s="199"/>
      <c r="BL372" s="199"/>
      <c r="BM372" s="202"/>
      <c r="BN372" s="202"/>
      <c r="BO372" s="202"/>
      <c r="BP372" s="202"/>
      <c r="BQ372" s="202"/>
      <c r="BR372" s="202"/>
      <c r="BS372" s="202"/>
      <c r="BT372" s="202"/>
      <c r="BU372" s="204"/>
      <c r="BV372" s="204"/>
      <c r="BW372" s="386"/>
      <c r="BX372" s="386"/>
    </row>
    <row r="373" spans="1:76" x14ac:dyDescent="0.25">
      <c r="A373" s="368"/>
      <c r="B373" s="369"/>
      <c r="C373" s="117" t="s">
        <v>71</v>
      </c>
      <c r="D373" s="117" t="s">
        <v>72</v>
      </c>
      <c r="E373" s="163"/>
      <c r="F373" s="163">
        <f t="shared" si="439"/>
        <v>0</v>
      </c>
      <c r="G373" s="403"/>
      <c r="H373" s="405"/>
      <c r="I373" s="161"/>
      <c r="J373" s="161">
        <f t="shared" ref="J373" si="465">I373*1.12</f>
        <v>0</v>
      </c>
      <c r="K373" s="397"/>
      <c r="L373" s="397"/>
      <c r="M373" s="373"/>
      <c r="N373" s="127">
        <f t="shared" si="440"/>
        <v>269103290.47321427</v>
      </c>
      <c r="O373" s="127">
        <f t="shared" si="440"/>
        <v>301395685.32999998</v>
      </c>
      <c r="P373" s="120">
        <f t="shared" si="441"/>
        <v>269103290.47321427</v>
      </c>
      <c r="Q373" s="162">
        <f>Q372</f>
        <v>301395685.32999998</v>
      </c>
      <c r="R373" s="375"/>
      <c r="S373" s="377"/>
      <c r="T373" s="119"/>
      <c r="U373" s="119"/>
      <c r="V373" s="119"/>
      <c r="W373" s="119"/>
      <c r="X373" s="119"/>
      <c r="Y373" s="119"/>
      <c r="Z373" s="119"/>
      <c r="AA373" s="119"/>
      <c r="AB373" s="119"/>
      <c r="AC373" s="119">
        <f>AC374</f>
        <v>104499.23375892857</v>
      </c>
      <c r="AD373" s="118">
        <f t="shared" si="452"/>
        <v>117039.14181000002</v>
      </c>
      <c r="AE373" s="119"/>
      <c r="AF373" s="119">
        <f>AC373+Z373</f>
        <v>104499.23375892857</v>
      </c>
      <c r="AG373" s="119">
        <f t="shared" ref="AG373" si="466">AD373+AA373</f>
        <v>117039.14181000002</v>
      </c>
      <c r="AH373" s="119"/>
      <c r="AI373" s="119">
        <f>AI374</f>
        <v>31587.44165178571</v>
      </c>
      <c r="AJ373" s="118">
        <f t="shared" si="453"/>
        <v>35377.934649999996</v>
      </c>
      <c r="AK373" s="119"/>
      <c r="AL373" s="119">
        <f>AL374</f>
        <v>31587.44165178571</v>
      </c>
      <c r="AM373" s="118">
        <f t="shared" si="447"/>
        <v>35377.934649999996</v>
      </c>
      <c r="AN373" s="119"/>
      <c r="AO373" s="118">
        <f>AL373-AI373</f>
        <v>0</v>
      </c>
      <c r="AP373" s="118">
        <f>AO373*1.12</f>
        <v>0</v>
      </c>
      <c r="AQ373" s="118"/>
      <c r="AR373" s="121" t="str">
        <f>IF($AI$345=0,"",AL373/($AI$345/$AK$345*AN372))</f>
        <v/>
      </c>
      <c r="AS373" s="122">
        <f>AL373</f>
        <v>31587.44165178571</v>
      </c>
      <c r="AT373" s="122"/>
      <c r="AU373" s="122"/>
      <c r="AV373" s="118">
        <f>AL373</f>
        <v>31587.44165178571</v>
      </c>
      <c r="AW373" s="118">
        <f t="shared" si="444"/>
        <v>35377.934649999996</v>
      </c>
      <c r="AX373" s="118"/>
      <c r="AY373" s="118"/>
      <c r="AZ373" s="118"/>
      <c r="BA373" s="118"/>
      <c r="BB373" s="118"/>
      <c r="BC373" s="118"/>
      <c r="BD373" s="118"/>
      <c r="BE373" s="118"/>
      <c r="BF373" s="118"/>
      <c r="BG373" s="118"/>
      <c r="BH373" s="118"/>
      <c r="BI373" s="118"/>
      <c r="BJ373" s="118"/>
      <c r="BK373" s="118"/>
      <c r="BL373" s="118"/>
      <c r="BM373" s="100"/>
      <c r="BN373" s="100"/>
      <c r="BO373" s="100"/>
      <c r="BP373" s="100"/>
      <c r="BQ373" s="100"/>
      <c r="BR373" s="100"/>
      <c r="BS373" s="100"/>
      <c r="BT373" s="100"/>
      <c r="BU373" s="97"/>
      <c r="BV373" s="97"/>
      <c r="BW373" s="386"/>
      <c r="BX373" s="386"/>
    </row>
    <row r="374" spans="1:76" x14ac:dyDescent="0.25">
      <c r="A374" s="368"/>
      <c r="B374" s="369"/>
      <c r="C374" s="124" t="s">
        <v>71</v>
      </c>
      <c r="D374" s="124" t="s">
        <v>73</v>
      </c>
      <c r="E374" s="167"/>
      <c r="F374" s="167">
        <f t="shared" si="439"/>
        <v>0</v>
      </c>
      <c r="G374" s="403"/>
      <c r="H374" s="405"/>
      <c r="I374" s="166"/>
      <c r="J374" s="166">
        <f>I374*1.12</f>
        <v>0</v>
      </c>
      <c r="K374" s="398"/>
      <c r="L374" s="398"/>
      <c r="M374" s="374"/>
      <c r="N374" s="127">
        <f t="shared" si="440"/>
        <v>269103290.47321427</v>
      </c>
      <c r="O374" s="127">
        <f t="shared" si="440"/>
        <v>301395685.32999998</v>
      </c>
      <c r="P374" s="127">
        <f t="shared" si="441"/>
        <v>269103290.47321427</v>
      </c>
      <c r="Q374" s="232">
        <f>Q373</f>
        <v>301395685.32999998</v>
      </c>
      <c r="R374" s="354"/>
      <c r="S374" s="378"/>
      <c r="T374" s="126"/>
      <c r="U374" s="126"/>
      <c r="V374" s="126"/>
      <c r="W374" s="126"/>
      <c r="X374" s="126"/>
      <c r="Y374" s="126"/>
      <c r="Z374" s="126"/>
      <c r="AA374" s="126"/>
      <c r="AB374" s="126"/>
      <c r="AC374" s="249">
        <f>37328.35478/1.12+38555.54769/1.12+21121.36768/1.12+20033.87166/1.12</f>
        <v>104499.23375892857</v>
      </c>
      <c r="AD374" s="125">
        <f t="shared" si="452"/>
        <v>117039.14181000002</v>
      </c>
      <c r="AE374" s="126"/>
      <c r="AF374" s="126">
        <f>AC374+Z374</f>
        <v>104499.23375892857</v>
      </c>
      <c r="AG374" s="126">
        <f>AD374+AA374</f>
        <v>117039.14181000002</v>
      </c>
      <c r="AH374" s="126"/>
      <c r="AI374" s="126">
        <f>18416.58985/1.12+16961.3448/1.12</f>
        <v>31587.44165178571</v>
      </c>
      <c r="AJ374" s="125">
        <f t="shared" si="453"/>
        <v>35377.934649999996</v>
      </c>
      <c r="AK374" s="126"/>
      <c r="AL374" s="126">
        <f>18416.58985/1.12+16961.3448/1.12</f>
        <v>31587.44165178571</v>
      </c>
      <c r="AM374" s="125">
        <f t="shared" si="447"/>
        <v>35377.934649999996</v>
      </c>
      <c r="AN374" s="126"/>
      <c r="AO374" s="125">
        <f>AO373</f>
        <v>0</v>
      </c>
      <c r="AP374" s="125">
        <f>AP373</f>
        <v>0</v>
      </c>
      <c r="AQ374" s="125"/>
      <c r="AR374" s="128" t="str">
        <f>AR373</f>
        <v/>
      </c>
      <c r="AS374" s="129">
        <f>AL374</f>
        <v>31587.44165178571</v>
      </c>
      <c r="AT374" s="129"/>
      <c r="AU374" s="129"/>
      <c r="AV374" s="125">
        <f>AV373</f>
        <v>31587.44165178571</v>
      </c>
      <c r="AW374" s="125">
        <f t="shared" si="444"/>
        <v>35377.934649999996</v>
      </c>
      <c r="AX374" s="125"/>
      <c r="AY374" s="125"/>
      <c r="AZ374" s="125"/>
      <c r="BA374" s="125"/>
      <c r="BB374" s="125"/>
      <c r="BC374" s="125"/>
      <c r="BD374" s="125"/>
      <c r="BE374" s="125"/>
      <c r="BF374" s="118"/>
      <c r="BG374" s="125"/>
      <c r="BH374" s="125"/>
      <c r="BI374" s="125"/>
      <c r="BJ374" s="125"/>
      <c r="BK374" s="125"/>
      <c r="BL374" s="125"/>
      <c r="BM374" s="25"/>
      <c r="BN374" s="25"/>
      <c r="BO374" s="25"/>
      <c r="BP374" s="25"/>
      <c r="BQ374" s="25"/>
      <c r="BR374" s="25"/>
      <c r="BS374" s="25"/>
      <c r="BT374" s="25"/>
      <c r="BW374" s="386"/>
      <c r="BX374" s="386"/>
    </row>
    <row r="375" spans="1:76" x14ac:dyDescent="0.25">
      <c r="A375" s="368"/>
      <c r="B375" s="369"/>
      <c r="C375" s="193" t="s">
        <v>69</v>
      </c>
      <c r="D375" s="193" t="s">
        <v>70</v>
      </c>
      <c r="E375" s="194"/>
      <c r="F375" s="194">
        <f t="shared" si="439"/>
        <v>0</v>
      </c>
      <c r="G375" s="403"/>
      <c r="H375" s="405"/>
      <c r="I375" s="195"/>
      <c r="J375" s="195">
        <f>I375*1.12</f>
        <v>0</v>
      </c>
      <c r="K375" s="388" t="s">
        <v>184</v>
      </c>
      <c r="L375" s="391" t="s">
        <v>185</v>
      </c>
      <c r="M375" s="372" t="s">
        <v>186</v>
      </c>
      <c r="N375" s="196">
        <v>273580941.06</v>
      </c>
      <c r="O375" s="251">
        <f>N375</f>
        <v>273580941.06</v>
      </c>
      <c r="P375" s="196">
        <v>1447243184.0999999</v>
      </c>
      <c r="Q375" s="251">
        <f>P375</f>
        <v>1447243184.0999999</v>
      </c>
      <c r="R375" s="353" t="s">
        <v>187</v>
      </c>
      <c r="S375" s="376">
        <v>1281</v>
      </c>
      <c r="T375" s="198"/>
      <c r="U375" s="198"/>
      <c r="V375" s="198"/>
      <c r="W375" s="198"/>
      <c r="X375" s="198"/>
      <c r="Y375" s="198"/>
      <c r="Z375" s="198"/>
      <c r="AA375" s="198"/>
      <c r="AB375" s="198"/>
      <c r="AC375" s="198"/>
      <c r="AD375" s="199">
        <f t="shared" si="452"/>
        <v>0</v>
      </c>
      <c r="AE375" s="198"/>
      <c r="AF375" s="198">
        <f>Z375+AC375</f>
        <v>0</v>
      </c>
      <c r="AG375" s="198">
        <f t="shared" ref="AG375:AH375" si="467">AA375+AD375</f>
        <v>0</v>
      </c>
      <c r="AH375" s="198">
        <f t="shared" si="467"/>
        <v>0</v>
      </c>
      <c r="AI375" s="198"/>
      <c r="AJ375" s="198"/>
      <c r="AK375" s="198"/>
      <c r="AL375" s="198"/>
      <c r="AM375" s="199">
        <f t="shared" si="447"/>
        <v>0</v>
      </c>
      <c r="AN375" s="198"/>
      <c r="AO375" s="199"/>
      <c r="AP375" s="199"/>
      <c r="AQ375" s="199"/>
      <c r="AR375" s="200"/>
      <c r="AS375" s="201"/>
      <c r="AT375" s="201"/>
      <c r="AU375" s="201"/>
      <c r="AV375" s="199"/>
      <c r="AW375" s="199">
        <f t="shared" si="444"/>
        <v>0</v>
      </c>
      <c r="AX375" s="199">
        <f>S375</f>
        <v>1281</v>
      </c>
      <c r="AY375" s="199"/>
      <c r="AZ375" s="199"/>
      <c r="BA375" s="199"/>
      <c r="BB375" s="199"/>
      <c r="BC375" s="199"/>
      <c r="BD375" s="199"/>
      <c r="BE375" s="199"/>
      <c r="BF375" s="199"/>
      <c r="BG375" s="199"/>
      <c r="BH375" s="199"/>
      <c r="BI375" s="199"/>
      <c r="BJ375" s="199"/>
      <c r="BK375" s="199"/>
      <c r="BL375" s="199"/>
      <c r="BM375" s="202"/>
      <c r="BN375" s="202"/>
      <c r="BO375" s="202"/>
      <c r="BP375" s="202"/>
      <c r="BQ375" s="202"/>
      <c r="BR375" s="202"/>
      <c r="BS375" s="202"/>
      <c r="BT375" s="202"/>
      <c r="BU375" s="204"/>
      <c r="BV375" s="204"/>
      <c r="BW375" s="386"/>
      <c r="BX375" s="386"/>
    </row>
    <row r="376" spans="1:76" x14ac:dyDescent="0.25">
      <c r="A376" s="368"/>
      <c r="B376" s="369"/>
      <c r="C376" s="117" t="s">
        <v>71</v>
      </c>
      <c r="D376" s="117" t="s">
        <v>72</v>
      </c>
      <c r="E376" s="163"/>
      <c r="F376" s="163">
        <f t="shared" si="439"/>
        <v>0</v>
      </c>
      <c r="G376" s="403"/>
      <c r="H376" s="405"/>
      <c r="I376" s="161"/>
      <c r="J376" s="161">
        <f t="shared" ref="J376" si="468">I376*1.12</f>
        <v>0</v>
      </c>
      <c r="K376" s="389"/>
      <c r="L376" s="392"/>
      <c r="M376" s="373"/>
      <c r="N376" s="127">
        <f t="shared" ref="N376:Q377" si="469">N375</f>
        <v>273580941.06</v>
      </c>
      <c r="O376" s="127">
        <f t="shared" si="469"/>
        <v>273580941.06</v>
      </c>
      <c r="P376" s="120">
        <f t="shared" si="469"/>
        <v>1447243184.0999999</v>
      </c>
      <c r="Q376" s="162">
        <f t="shared" si="469"/>
        <v>1447243184.0999999</v>
      </c>
      <c r="R376" s="375"/>
      <c r="S376" s="377"/>
      <c r="T376" s="119"/>
      <c r="U376" s="119"/>
      <c r="V376" s="119"/>
      <c r="W376" s="119"/>
      <c r="X376" s="119"/>
      <c r="Y376" s="119"/>
      <c r="Z376" s="119"/>
      <c r="AA376" s="119"/>
      <c r="AB376" s="119"/>
      <c r="AC376" s="119">
        <f>AC377</f>
        <v>1488808.7356699998</v>
      </c>
      <c r="AD376" s="165">
        <f>AC376</f>
        <v>1488808.7356699998</v>
      </c>
      <c r="AE376" s="119"/>
      <c r="AF376" s="119">
        <f>AC376+Z376</f>
        <v>1488808.7356699998</v>
      </c>
      <c r="AG376" s="119">
        <f t="shared" ref="AG376" si="470">AD376+AA376</f>
        <v>1488808.7356699998</v>
      </c>
      <c r="AH376" s="119"/>
      <c r="AI376" s="119"/>
      <c r="AJ376" s="119"/>
      <c r="AK376" s="119"/>
      <c r="AL376" s="119">
        <f>AL377</f>
        <v>0</v>
      </c>
      <c r="AM376" s="165">
        <f>AL376</f>
        <v>0</v>
      </c>
      <c r="AN376" s="119"/>
      <c r="AO376" s="118">
        <f>AL376-AI376</f>
        <v>0</v>
      </c>
      <c r="AP376" s="118">
        <f>AO376*1.12</f>
        <v>0</v>
      </c>
      <c r="AQ376" s="118"/>
      <c r="AR376" s="121"/>
      <c r="AS376" s="122">
        <f>AL376</f>
        <v>0</v>
      </c>
      <c r="AT376" s="122"/>
      <c r="AU376" s="122"/>
      <c r="AV376" s="118"/>
      <c r="AW376" s="118">
        <f t="shared" si="444"/>
        <v>0</v>
      </c>
      <c r="AX376" s="118"/>
      <c r="AY376" s="118"/>
      <c r="AZ376" s="118"/>
      <c r="BA376" s="118"/>
      <c r="BB376" s="118"/>
      <c r="BC376" s="118"/>
      <c r="BD376" s="118"/>
      <c r="BE376" s="118"/>
      <c r="BF376" s="118"/>
      <c r="BG376" s="118"/>
      <c r="BH376" s="118"/>
      <c r="BI376" s="118"/>
      <c r="BJ376" s="118"/>
      <c r="BK376" s="118"/>
      <c r="BL376" s="118"/>
      <c r="BM376" s="100"/>
      <c r="BN376" s="100"/>
      <c r="BO376" s="100"/>
      <c r="BP376" s="100"/>
      <c r="BQ376" s="100"/>
      <c r="BR376" s="100"/>
      <c r="BS376" s="100"/>
      <c r="BT376" s="100"/>
      <c r="BU376" s="97"/>
      <c r="BV376" s="97"/>
      <c r="BW376" s="386"/>
      <c r="BX376" s="386"/>
    </row>
    <row r="377" spans="1:76" x14ac:dyDescent="0.25">
      <c r="A377" s="368"/>
      <c r="B377" s="369"/>
      <c r="C377" s="124" t="s">
        <v>71</v>
      </c>
      <c r="D377" s="124" t="s">
        <v>73</v>
      </c>
      <c r="E377" s="167"/>
      <c r="F377" s="167">
        <f t="shared" si="439"/>
        <v>0</v>
      </c>
      <c r="G377" s="403"/>
      <c r="H377" s="405"/>
      <c r="I377" s="166"/>
      <c r="J377" s="166">
        <f>I377*1.12</f>
        <v>0</v>
      </c>
      <c r="K377" s="390"/>
      <c r="L377" s="393"/>
      <c r="M377" s="374"/>
      <c r="N377" s="127">
        <f t="shared" si="469"/>
        <v>273580941.06</v>
      </c>
      <c r="O377" s="127">
        <f t="shared" si="469"/>
        <v>273580941.06</v>
      </c>
      <c r="P377" s="127">
        <f t="shared" si="469"/>
        <v>1447243184.0999999</v>
      </c>
      <c r="Q377" s="232">
        <f t="shared" si="469"/>
        <v>1447243184.0999999</v>
      </c>
      <c r="R377" s="354"/>
      <c r="S377" s="378"/>
      <c r="T377" s="126"/>
      <c r="U377" s="126"/>
      <c r="V377" s="126"/>
      <c r="W377" s="126"/>
      <c r="X377" s="126"/>
      <c r="Y377" s="126"/>
      <c r="Z377" s="126"/>
      <c r="AA377" s="126"/>
      <c r="AB377" s="126"/>
      <c r="AC377" s="252">
        <f>36082.35753+119376.11461+891276.68667+385328.46625+54369.32861+2375.782</f>
        <v>1488808.7356699998</v>
      </c>
      <c r="AD377" s="169">
        <f>AC377</f>
        <v>1488808.7356699998</v>
      </c>
      <c r="AE377" s="126"/>
      <c r="AF377" s="126">
        <f>AC377+Z377</f>
        <v>1488808.7356699998</v>
      </c>
      <c r="AG377" s="126">
        <f>AD377+AA377</f>
        <v>1488808.7356699998</v>
      </c>
      <c r="AH377" s="126"/>
      <c r="AI377" s="126"/>
      <c r="AJ377" s="126"/>
      <c r="AK377" s="126"/>
      <c r="AL377" s="252"/>
      <c r="AM377" s="169">
        <f>AL377</f>
        <v>0</v>
      </c>
      <c r="AN377" s="126"/>
      <c r="AO377" s="125">
        <f>AO376</f>
        <v>0</v>
      </c>
      <c r="AP377" s="125">
        <f>AP376</f>
        <v>0</v>
      </c>
      <c r="AQ377" s="125"/>
      <c r="AR377" s="128"/>
      <c r="AS377" s="129">
        <f>AL377</f>
        <v>0</v>
      </c>
      <c r="AT377" s="129"/>
      <c r="AU377" s="129"/>
      <c r="AV377" s="125"/>
      <c r="AW377" s="125">
        <f t="shared" si="444"/>
        <v>0</v>
      </c>
      <c r="AX377" s="125"/>
      <c r="AY377" s="125"/>
      <c r="AZ377" s="125"/>
      <c r="BA377" s="125"/>
      <c r="BB377" s="125"/>
      <c r="BC377" s="125"/>
      <c r="BD377" s="125"/>
      <c r="BE377" s="125"/>
      <c r="BF377" s="118"/>
      <c r="BG377" s="125"/>
      <c r="BH377" s="125"/>
      <c r="BI377" s="125"/>
      <c r="BJ377" s="125"/>
      <c r="BK377" s="125"/>
      <c r="BL377" s="125"/>
      <c r="BM377" s="25"/>
      <c r="BN377" s="25"/>
      <c r="BO377" s="25"/>
      <c r="BP377" s="25"/>
      <c r="BQ377" s="25"/>
      <c r="BR377" s="25"/>
      <c r="BS377" s="25"/>
      <c r="BT377" s="25"/>
      <c r="BW377" s="386"/>
      <c r="BX377" s="386"/>
    </row>
    <row r="378" spans="1:76" s="204" customFormat="1" x14ac:dyDescent="0.25">
      <c r="A378" s="368"/>
      <c r="B378" s="369" t="s">
        <v>188</v>
      </c>
      <c r="C378" s="193" t="s">
        <v>69</v>
      </c>
      <c r="D378" s="193" t="s">
        <v>70</v>
      </c>
      <c r="E378" s="194">
        <f>I378</f>
        <v>15089202</v>
      </c>
      <c r="F378" s="194">
        <f t="shared" si="439"/>
        <v>16899906.240000002</v>
      </c>
      <c r="G378" s="394">
        <v>1919</v>
      </c>
      <c r="H378" s="395">
        <v>2100</v>
      </c>
      <c r="I378" s="195">
        <v>15089202</v>
      </c>
      <c r="J378" s="195">
        <f>I378*1.12</f>
        <v>16899906.240000002</v>
      </c>
      <c r="K378" s="370" t="s">
        <v>163</v>
      </c>
      <c r="L378" s="379" t="s">
        <v>189</v>
      </c>
      <c r="M378" s="372" t="s">
        <v>96</v>
      </c>
      <c r="N378" s="196">
        <f t="shared" ref="N378:O407" si="471">P378</f>
        <v>440688695.16071421</v>
      </c>
      <c r="O378" s="196">
        <f t="shared" si="471"/>
        <v>493571338.57999998</v>
      </c>
      <c r="P378" s="196">
        <f t="shared" ref="P378:P408" si="472">Q378/1.12</f>
        <v>440688695.16071421</v>
      </c>
      <c r="Q378" s="247">
        <v>493571338.57999998</v>
      </c>
      <c r="R378" s="353" t="s">
        <v>147</v>
      </c>
      <c r="S378" s="376">
        <v>164</v>
      </c>
      <c r="T378" s="198"/>
      <c r="U378" s="198"/>
      <c r="V378" s="198"/>
      <c r="W378" s="198"/>
      <c r="X378" s="198"/>
      <c r="Y378" s="198"/>
      <c r="Z378" s="198"/>
      <c r="AA378" s="198"/>
      <c r="AB378" s="198"/>
      <c r="AC378" s="198"/>
      <c r="AD378" s="197">
        <f t="shared" ref="AD378" si="473">AC378*1.12</f>
        <v>0</v>
      </c>
      <c r="AE378" s="198"/>
      <c r="AF378" s="198">
        <f>Z378+AC378+W378+T378</f>
        <v>0</v>
      </c>
      <c r="AG378" s="198">
        <f>AA378+AD378+X378+U378</f>
        <v>0</v>
      </c>
      <c r="AH378" s="198">
        <f>AB378+AE378+Y378+V378</f>
        <v>0</v>
      </c>
      <c r="AI378" s="198">
        <f>1423863+1668602+2343755+1469714+1507235+1202515+1164093+1030718+1006775+859073+685556+727303</f>
        <v>15089202</v>
      </c>
      <c r="AJ378" s="198">
        <f>AI378*1.12</f>
        <v>16899906.240000002</v>
      </c>
      <c r="AK378" s="198">
        <f>214+250+350+220+224+179+141+125+122+104+83+88</f>
        <v>2100</v>
      </c>
      <c r="AL378" s="198">
        <f>(283473+104576)+12278</f>
        <v>400327</v>
      </c>
      <c r="AM378" s="199">
        <f t="shared" ref="AM378" si="474">AL378*1.12</f>
        <v>448366.24000000005</v>
      </c>
      <c r="AN378" s="198">
        <f>30+20+14+30+25+40+5</f>
        <v>164</v>
      </c>
      <c r="AO378" s="199">
        <f>AL378-($AI$378/$AK$378*$AN$378)+($AI$378/$AK$378*AQ378)</f>
        <v>-778067.82285714289</v>
      </c>
      <c r="AP378" s="199">
        <f>AO378*1.12</f>
        <v>-871435.96160000016</v>
      </c>
      <c r="AQ378" s="237">
        <f>AN378-(30+30+35+20+34+15)</f>
        <v>0</v>
      </c>
      <c r="AR378" s="200">
        <f>IF($AI$378=0,"",AL378/($AI$378/$AK$378*AN378))</f>
        <v>0.33972230039959345</v>
      </c>
      <c r="AS378" s="201"/>
      <c r="AT378" s="201"/>
      <c r="AU378" s="201"/>
      <c r="AV378" s="199">
        <f>P378/1000+AZ378</f>
        <v>-337379.12769642868</v>
      </c>
      <c r="AW378" s="199">
        <f t="shared" si="444"/>
        <v>-377864.62302000017</v>
      </c>
      <c r="AX378" s="199">
        <f>S378</f>
        <v>164</v>
      </c>
      <c r="AY378" s="199"/>
      <c r="AZ378" s="199">
        <f>AL378-($AI$378/$AK$378*AN378)</f>
        <v>-778067.82285714289</v>
      </c>
      <c r="BA378" s="199"/>
      <c r="BB378" s="199"/>
      <c r="BC378" s="199"/>
      <c r="BD378" s="199"/>
      <c r="BE378" s="199"/>
      <c r="BF378" s="199"/>
      <c r="BG378" s="199"/>
      <c r="BH378" s="199"/>
      <c r="BI378" s="199"/>
      <c r="BJ378" s="199"/>
      <c r="BK378" s="199"/>
      <c r="BL378" s="199">
        <f>$AI$378/$AK$378*AQ378</f>
        <v>0</v>
      </c>
      <c r="BM378" s="202"/>
      <c r="BN378" s="202"/>
      <c r="BO378" s="202"/>
      <c r="BP378" s="202"/>
      <c r="BQ378" s="202"/>
      <c r="BR378" s="202"/>
      <c r="BS378" s="202"/>
      <c r="BT378" s="202"/>
      <c r="BW378" s="385">
        <f>SUM(AY378:BL410)</f>
        <v>-8315347.0000000019</v>
      </c>
      <c r="BX378" s="387">
        <f>BW378-(AO378+AO381+AO384+AO387+AO390+AO393+AO396+AO399+AO402+AO405+AO408)</f>
        <v>0</v>
      </c>
    </row>
    <row r="379" spans="1:76" s="97" customFormat="1" x14ac:dyDescent="0.25">
      <c r="A379" s="368"/>
      <c r="B379" s="369"/>
      <c r="C379" s="117" t="s">
        <v>71</v>
      </c>
      <c r="D379" s="117" t="s">
        <v>72</v>
      </c>
      <c r="E379" s="163">
        <f>E378</f>
        <v>15089202</v>
      </c>
      <c r="F379" s="163">
        <f t="shared" si="439"/>
        <v>16899906.240000002</v>
      </c>
      <c r="G379" s="394"/>
      <c r="H379" s="395"/>
      <c r="I379" s="161">
        <v>13246807</v>
      </c>
      <c r="J379" s="161">
        <f t="shared" ref="J379" si="475">I379*1.12</f>
        <v>14836423.840000002</v>
      </c>
      <c r="K379" s="370"/>
      <c r="L379" s="380"/>
      <c r="M379" s="373"/>
      <c r="N379" s="127">
        <f t="shared" si="471"/>
        <v>440688695.16071421</v>
      </c>
      <c r="O379" s="127">
        <f t="shared" si="471"/>
        <v>493571338.57999998</v>
      </c>
      <c r="P379" s="120">
        <f t="shared" si="472"/>
        <v>440688695.16071421</v>
      </c>
      <c r="Q379" s="162">
        <f>Q378</f>
        <v>493571338.57999998</v>
      </c>
      <c r="R379" s="375"/>
      <c r="S379" s="377"/>
      <c r="T379" s="119"/>
      <c r="U379" s="119"/>
      <c r="V379" s="119"/>
      <c r="W379" s="119"/>
      <c r="X379" s="119"/>
      <c r="Y379" s="119"/>
      <c r="Z379" s="119"/>
      <c r="AA379" s="119"/>
      <c r="AB379" s="119"/>
      <c r="AC379" s="119">
        <f>AC380</f>
        <v>0</v>
      </c>
      <c r="AD379" s="206">
        <f>AC379*1.12</f>
        <v>0</v>
      </c>
      <c r="AE379" s="119"/>
      <c r="AF379" s="119">
        <f>AC379+Z379+W379+T379</f>
        <v>0</v>
      </c>
      <c r="AG379" s="119">
        <f>AD379+AA379+X379+U379</f>
        <v>0</v>
      </c>
      <c r="AH379" s="119"/>
      <c r="AI379" s="119">
        <f>711932+711932+834301+834301+2343755+2223332+1956133+1679452-1+1018747-1+932924-0.1</f>
        <v>13246806.9</v>
      </c>
      <c r="AJ379" s="119">
        <f>AI379*1.12</f>
        <v>14836423.728000002</v>
      </c>
      <c r="AK379" s="119"/>
      <c r="AL379" s="119">
        <f>AL380</f>
        <v>332807.90733928571</v>
      </c>
      <c r="AM379" s="118">
        <f>AL379*1.12</f>
        <v>372744.85622000002</v>
      </c>
      <c r="AN379" s="119"/>
      <c r="AO379" s="118">
        <f>AL379-($AI$379/$AK$378*$AN$378)+$AI$379/$AK$378*AQ378</f>
        <v>-701704.6315178572</v>
      </c>
      <c r="AP379" s="118">
        <f>AO379*1.12</f>
        <v>-785909.18730000011</v>
      </c>
      <c r="AQ379" s="118"/>
      <c r="AR379" s="121">
        <f>IF($AI$379=0,"",AL379/($AI$379/$AK$378*AN378))</f>
        <v>0.32170504932395366</v>
      </c>
      <c r="AS379" s="122"/>
      <c r="AT379" s="122">
        <f>AL379</f>
        <v>332807.90733928571</v>
      </c>
      <c r="AU379" s="122"/>
      <c r="AV379" s="118">
        <f>AV378</f>
        <v>-337379.12769642868</v>
      </c>
      <c r="AW379" s="118">
        <f t="shared" si="444"/>
        <v>-377864.62302000017</v>
      </c>
      <c r="AX379" s="118"/>
      <c r="AY379" s="118"/>
      <c r="AZ379" s="118"/>
      <c r="BA379" s="118"/>
      <c r="BB379" s="118"/>
      <c r="BC379" s="118"/>
      <c r="BD379" s="118"/>
      <c r="BE379" s="118"/>
      <c r="BF379" s="118"/>
      <c r="BG379" s="118"/>
      <c r="BH379" s="118"/>
      <c r="BI379" s="118"/>
      <c r="BJ379" s="118"/>
      <c r="BK379" s="118"/>
      <c r="BL379" s="118"/>
      <c r="BM379" s="100"/>
      <c r="BN379" s="100"/>
      <c r="BO379" s="248">
        <f>BO380</f>
        <v>11865.687809999999</v>
      </c>
      <c r="BP379" s="248">
        <f>BP380</f>
        <v>171406.79699999999</v>
      </c>
      <c r="BQ379" s="100">
        <f>BQ380</f>
        <v>38.474249999999998</v>
      </c>
      <c r="BR379" s="100"/>
      <c r="BS379" s="100"/>
      <c r="BT379" s="100"/>
      <c r="BW379" s="386"/>
      <c r="BX379" s="386"/>
    </row>
    <row r="380" spans="1:76" x14ac:dyDescent="0.25">
      <c r="A380" s="368"/>
      <c r="B380" s="369"/>
      <c r="C380" s="124" t="s">
        <v>71</v>
      </c>
      <c r="D380" s="124" t="s">
        <v>73</v>
      </c>
      <c r="E380" s="167">
        <f>E379</f>
        <v>15089202</v>
      </c>
      <c r="F380" s="167">
        <f t="shared" si="439"/>
        <v>16899906.240000002</v>
      </c>
      <c r="G380" s="394"/>
      <c r="H380" s="395"/>
      <c r="I380" s="166">
        <f>I379</f>
        <v>13246807</v>
      </c>
      <c r="J380" s="166">
        <f>I380*1.12</f>
        <v>14836423.840000002</v>
      </c>
      <c r="K380" s="370"/>
      <c r="L380" s="381"/>
      <c r="M380" s="374"/>
      <c r="N380" s="127">
        <f t="shared" si="471"/>
        <v>440688695.16071421</v>
      </c>
      <c r="O380" s="127">
        <f t="shared" si="471"/>
        <v>493571338.57999998</v>
      </c>
      <c r="P380" s="127">
        <f t="shared" si="472"/>
        <v>440688695.16071421</v>
      </c>
      <c r="Q380" s="232">
        <f>Q379</f>
        <v>493571338.57999998</v>
      </c>
      <c r="R380" s="354"/>
      <c r="S380" s="378"/>
      <c r="T380" s="126"/>
      <c r="U380" s="126"/>
      <c r="V380" s="126"/>
      <c r="W380" s="126"/>
      <c r="X380" s="126"/>
      <c r="Y380" s="126"/>
      <c r="Z380" s="126"/>
      <c r="AA380" s="126"/>
      <c r="AB380" s="126"/>
      <c r="AC380" s="126"/>
      <c r="AD380" s="37">
        <f t="shared" ref="AD380:AD410" si="476">AC380*1.12</f>
        <v>0</v>
      </c>
      <c r="AE380" s="126"/>
      <c r="AF380" s="126">
        <f>AC380+Z380+W380+T380</f>
        <v>0</v>
      </c>
      <c r="AG380" s="126">
        <f>AD380+AA380+X380+U380</f>
        <v>0</v>
      </c>
      <c r="AH380" s="126"/>
      <c r="AI380" s="126">
        <f>AI379</f>
        <v>13246806.9</v>
      </c>
      <c r="AJ380" s="126">
        <f>AI380*1.12</f>
        <v>14836423.728000002</v>
      </c>
      <c r="AK380" s="126"/>
      <c r="AL380" s="126">
        <f>64246.79265/1.12+43095.03515/1.12+29570.76199/1.12+65753.73726/1.12+59243.89083/1.12+99291.41862/1.12+11543.21972/1.12</f>
        <v>332807.90733928571</v>
      </c>
      <c r="AM380" s="167">
        <f>AL380*1.12</f>
        <v>372744.85622000002</v>
      </c>
      <c r="AN380" s="126"/>
      <c r="AO380" s="125">
        <f>AO379</f>
        <v>-701704.6315178572</v>
      </c>
      <c r="AP380" s="125">
        <f>AP379</f>
        <v>-785909.18730000011</v>
      </c>
      <c r="AQ380" s="125"/>
      <c r="AR380" s="128">
        <f>AR379</f>
        <v>0.32170504932395366</v>
      </c>
      <c r="AS380" s="129"/>
      <c r="AT380" s="129">
        <f>AL380</f>
        <v>332807.90733928571</v>
      </c>
      <c r="AU380" s="129"/>
      <c r="AV380" s="125">
        <f>AV379</f>
        <v>-337379.12769642868</v>
      </c>
      <c r="AW380" s="125">
        <f t="shared" si="444"/>
        <v>-377864.62302000017</v>
      </c>
      <c r="AX380" s="125"/>
      <c r="AY380" s="125"/>
      <c r="AZ380" s="125"/>
      <c r="BA380" s="125"/>
      <c r="BB380" s="125"/>
      <c r="BC380" s="125"/>
      <c r="BD380" s="125"/>
      <c r="BE380" s="125"/>
      <c r="BF380" s="118"/>
      <c r="BG380" s="125"/>
      <c r="BH380" s="125"/>
      <c r="BI380" s="125"/>
      <c r="BJ380" s="125"/>
      <c r="BK380" s="125"/>
      <c r="BL380" s="125"/>
      <c r="BM380" s="25"/>
      <c r="BN380" s="25"/>
      <c r="BO380" s="250">
        <f>5286144.43/1000+6579543.38/1000</f>
        <v>11865.687809999999</v>
      </c>
      <c r="BP380" s="250">
        <f>171406797/1000</f>
        <v>171406.79699999999</v>
      </c>
      <c r="BQ380" s="26">
        <f>38474.25/1000</f>
        <v>38.474249999999998</v>
      </c>
      <c r="BR380" s="25"/>
      <c r="BS380" s="25"/>
      <c r="BT380" s="25"/>
      <c r="BW380" s="386"/>
      <c r="BX380" s="386"/>
    </row>
    <row r="381" spans="1:76" x14ac:dyDescent="0.25">
      <c r="A381" s="368"/>
      <c r="B381" s="369"/>
      <c r="C381" s="193" t="s">
        <v>69</v>
      </c>
      <c r="D381" s="193" t="s">
        <v>70</v>
      </c>
      <c r="E381" s="194"/>
      <c r="F381" s="194">
        <f t="shared" si="439"/>
        <v>0</v>
      </c>
      <c r="G381" s="394"/>
      <c r="H381" s="395"/>
      <c r="I381" s="195"/>
      <c r="J381" s="195">
        <f>I381*1.12</f>
        <v>0</v>
      </c>
      <c r="K381" s="370" t="s">
        <v>190</v>
      </c>
      <c r="L381" s="382" t="s">
        <v>191</v>
      </c>
      <c r="M381" s="372" t="s">
        <v>96</v>
      </c>
      <c r="N381" s="196">
        <f t="shared" si="471"/>
        <v>263338366.6160714</v>
      </c>
      <c r="O381" s="196">
        <f t="shared" si="471"/>
        <v>294938970.61000001</v>
      </c>
      <c r="P381" s="196">
        <f t="shared" si="472"/>
        <v>263338366.6160714</v>
      </c>
      <c r="Q381" s="247">
        <v>294938970.61000001</v>
      </c>
      <c r="R381" s="353" t="s">
        <v>147</v>
      </c>
      <c r="S381" s="376">
        <v>98</v>
      </c>
      <c r="T381" s="198"/>
      <c r="U381" s="198"/>
      <c r="V381" s="198"/>
      <c r="W381" s="198"/>
      <c r="X381" s="198"/>
      <c r="Y381" s="198"/>
      <c r="Z381" s="198"/>
      <c r="AA381" s="198"/>
      <c r="AB381" s="198"/>
      <c r="AC381" s="198"/>
      <c r="AD381" s="197">
        <f t="shared" si="476"/>
        <v>0</v>
      </c>
      <c r="AE381" s="198"/>
      <c r="AF381" s="198">
        <f>Z381+AC381+W381+T381</f>
        <v>0</v>
      </c>
      <c r="AG381" s="198">
        <f>AA381+AD381+X381+U381</f>
        <v>0</v>
      </c>
      <c r="AH381" s="198">
        <f>AB381+AE381+Y381+V381</f>
        <v>0</v>
      </c>
      <c r="AI381" s="198"/>
      <c r="AJ381" s="198"/>
      <c r="AK381" s="198"/>
      <c r="AL381" s="198">
        <f>147202+38586</f>
        <v>185788</v>
      </c>
      <c r="AM381" s="199">
        <f t="shared" ref="AM381:AM390" si="477">AL381*1.12</f>
        <v>208082.56000000003</v>
      </c>
      <c r="AN381" s="198">
        <f>14+16+19+12+18+19</f>
        <v>98</v>
      </c>
      <c r="AO381" s="199">
        <f>AL381-($AI$378/$AK$378*$AN$381)+($AI$378/$AK$378*AQ381)</f>
        <v>-518374.76</v>
      </c>
      <c r="AP381" s="199">
        <f>AO381*1.12</f>
        <v>-580579.73120000004</v>
      </c>
      <c r="AQ381" s="237">
        <f>AN381-(14+16+19+12+18+19)</f>
        <v>0</v>
      </c>
      <c r="AR381" s="200">
        <f>IF($AI$378=0,"",AL381/($AI$378/$AK$378*AN381))</f>
        <v>0.26384241052452134</v>
      </c>
      <c r="AS381" s="201"/>
      <c r="AT381" s="201"/>
      <c r="AU381" s="201"/>
      <c r="AV381" s="199">
        <f>P381/1000+AZ381</f>
        <v>-255036.39338392863</v>
      </c>
      <c r="AW381" s="199">
        <f t="shared" si="444"/>
        <v>-285640.76059000008</v>
      </c>
      <c r="AX381" s="199">
        <f>S381</f>
        <v>98</v>
      </c>
      <c r="AY381" s="199"/>
      <c r="AZ381" s="199">
        <f>AL381-($AI$378/$AK$378*AN381)</f>
        <v>-518374.76</v>
      </c>
      <c r="BA381" s="199"/>
      <c r="BB381" s="199"/>
      <c r="BC381" s="199"/>
      <c r="BD381" s="199"/>
      <c r="BE381" s="199"/>
      <c r="BF381" s="199"/>
      <c r="BG381" s="199"/>
      <c r="BH381" s="199"/>
      <c r="BI381" s="199"/>
      <c r="BJ381" s="199"/>
      <c r="BK381" s="199"/>
      <c r="BL381" s="199">
        <f>$AI$378/$AK$378*AQ381</f>
        <v>0</v>
      </c>
      <c r="BM381" s="202"/>
      <c r="BN381" s="202"/>
      <c r="BO381" s="202"/>
      <c r="BP381" s="202"/>
      <c r="BQ381" s="202"/>
      <c r="BR381" s="202"/>
      <c r="BS381" s="202"/>
      <c r="BT381" s="202"/>
      <c r="BU381" s="204"/>
      <c r="BV381" s="204"/>
      <c r="BW381" s="386"/>
      <c r="BX381" s="386"/>
    </row>
    <row r="382" spans="1:76" x14ac:dyDescent="0.25">
      <c r="A382" s="368"/>
      <c r="B382" s="369"/>
      <c r="C382" s="117" t="s">
        <v>71</v>
      </c>
      <c r="D382" s="117" t="s">
        <v>72</v>
      </c>
      <c r="E382" s="163"/>
      <c r="F382" s="163">
        <f t="shared" si="439"/>
        <v>0</v>
      </c>
      <c r="G382" s="394"/>
      <c r="H382" s="395"/>
      <c r="I382" s="161"/>
      <c r="J382" s="161">
        <f t="shared" ref="J382" si="478">I382*1.12</f>
        <v>0</v>
      </c>
      <c r="K382" s="370"/>
      <c r="L382" s="383"/>
      <c r="M382" s="373"/>
      <c r="N382" s="127">
        <f t="shared" si="471"/>
        <v>263338366.6160714</v>
      </c>
      <c r="O382" s="127">
        <f t="shared" si="471"/>
        <v>294938970.61000001</v>
      </c>
      <c r="P382" s="120">
        <f t="shared" si="472"/>
        <v>263338366.6160714</v>
      </c>
      <c r="Q382" s="162">
        <f>Q381</f>
        <v>294938970.61000001</v>
      </c>
      <c r="R382" s="375"/>
      <c r="S382" s="377"/>
      <c r="T382" s="119"/>
      <c r="U382" s="119"/>
      <c r="V382" s="119"/>
      <c r="W382" s="119"/>
      <c r="X382" s="119"/>
      <c r="Y382" s="119"/>
      <c r="Z382" s="119"/>
      <c r="AA382" s="119"/>
      <c r="AB382" s="119"/>
      <c r="AC382" s="119">
        <f>AC383</f>
        <v>0</v>
      </c>
      <c r="AD382" s="206">
        <f t="shared" si="476"/>
        <v>0</v>
      </c>
      <c r="AE382" s="119"/>
      <c r="AF382" s="119">
        <f>AC382+Z382+W382+T382</f>
        <v>0</v>
      </c>
      <c r="AG382" s="119">
        <f>AD382+AA382+X382+U382</f>
        <v>0</v>
      </c>
      <c r="AH382" s="119"/>
      <c r="AI382" s="119"/>
      <c r="AJ382" s="119"/>
      <c r="AK382" s="119"/>
      <c r="AL382" s="119">
        <f>AL383</f>
        <v>151031.86557142847</v>
      </c>
      <c r="AM382" s="118">
        <f t="shared" si="477"/>
        <v>169155.6894399999</v>
      </c>
      <c r="AN382" s="119"/>
      <c r="AO382" s="118">
        <f>AL382-($AI$379/$AK$378*$AN$381)+$AI$379/$AK$378*AQ381</f>
        <v>-467152.4564285716</v>
      </c>
      <c r="AP382" s="118">
        <f>AO382*1.12</f>
        <v>-523210.75120000023</v>
      </c>
      <c r="AQ382" s="118"/>
      <c r="AR382" s="121">
        <f>IF($AI$379=0,"",AL382/($AI$379/$AK$378*AN381))</f>
        <v>0.24431526358157699</v>
      </c>
      <c r="AS382" s="122"/>
      <c r="AT382" s="122">
        <f>AL382</f>
        <v>151031.86557142847</v>
      </c>
      <c r="AU382" s="122"/>
      <c r="AV382" s="118">
        <f>AV381</f>
        <v>-255036.39338392863</v>
      </c>
      <c r="AW382" s="118">
        <f t="shared" si="444"/>
        <v>-285640.76059000008</v>
      </c>
      <c r="AX382" s="118"/>
      <c r="AY382" s="118"/>
      <c r="AZ382" s="118"/>
      <c r="BA382" s="118"/>
      <c r="BB382" s="118"/>
      <c r="BC382" s="118"/>
      <c r="BD382" s="118"/>
      <c r="BE382" s="118"/>
      <c r="BF382" s="118"/>
      <c r="BG382" s="118"/>
      <c r="BH382" s="118"/>
      <c r="BI382" s="118"/>
      <c r="BJ382" s="118"/>
      <c r="BK382" s="118"/>
      <c r="BL382" s="118"/>
      <c r="BM382" s="100"/>
      <c r="BN382" s="100"/>
      <c r="BO382" s="100"/>
      <c r="BP382" s="100"/>
      <c r="BQ382" s="100"/>
      <c r="BR382" s="100"/>
      <c r="BS382" s="100"/>
      <c r="BT382" s="100"/>
      <c r="BU382" s="97"/>
      <c r="BV382" s="97"/>
      <c r="BW382" s="386"/>
      <c r="BX382" s="386"/>
    </row>
    <row r="383" spans="1:76" x14ac:dyDescent="0.25">
      <c r="A383" s="368"/>
      <c r="B383" s="369"/>
      <c r="C383" s="124" t="s">
        <v>71</v>
      </c>
      <c r="D383" s="124" t="s">
        <v>73</v>
      </c>
      <c r="E383" s="167"/>
      <c r="F383" s="167">
        <f t="shared" si="439"/>
        <v>0</v>
      </c>
      <c r="G383" s="394"/>
      <c r="H383" s="395"/>
      <c r="I383" s="166"/>
      <c r="J383" s="166">
        <f>I383*1.12</f>
        <v>0</v>
      </c>
      <c r="K383" s="370"/>
      <c r="L383" s="384"/>
      <c r="M383" s="374"/>
      <c r="N383" s="127">
        <f t="shared" si="471"/>
        <v>263338366.6160714</v>
      </c>
      <c r="O383" s="127">
        <f t="shared" si="471"/>
        <v>294938970.61000001</v>
      </c>
      <c r="P383" s="127">
        <f t="shared" si="472"/>
        <v>263338366.6160714</v>
      </c>
      <c r="Q383" s="232">
        <f>Q382</f>
        <v>294938970.61000001</v>
      </c>
      <c r="R383" s="354"/>
      <c r="S383" s="378"/>
      <c r="T383" s="126"/>
      <c r="U383" s="126"/>
      <c r="V383" s="126"/>
      <c r="W383" s="126"/>
      <c r="X383" s="126"/>
      <c r="Y383" s="126"/>
      <c r="Z383" s="126"/>
      <c r="AA383" s="126"/>
      <c r="AB383" s="126"/>
      <c r="AC383" s="126"/>
      <c r="AD383" s="37">
        <f t="shared" si="476"/>
        <v>0</v>
      </c>
      <c r="AE383" s="126"/>
      <c r="AF383" s="126">
        <f>AC383+Z383+W383+T383</f>
        <v>0</v>
      </c>
      <c r="AG383" s="126">
        <f>AD383+AA383+X383+U383</f>
        <v>0</v>
      </c>
      <c r="AH383" s="126"/>
      <c r="AI383" s="126"/>
      <c r="AJ383" s="126"/>
      <c r="AK383" s="126"/>
      <c r="AL383" s="126">
        <f>24735.55405/1.12+22093.38611/1.12+30324.23983/1.12+15766.72178/1.12+35284.55354/1.12+40951.2341299999/1.12</f>
        <v>151031.86557142847</v>
      </c>
      <c r="AM383" s="125">
        <f t="shared" si="477"/>
        <v>169155.6894399999</v>
      </c>
      <c r="AN383" s="126"/>
      <c r="AO383" s="125">
        <f>AO382</f>
        <v>-467152.4564285716</v>
      </c>
      <c r="AP383" s="125">
        <f>AP382</f>
        <v>-523210.75120000023</v>
      </c>
      <c r="AQ383" s="125"/>
      <c r="AR383" s="128">
        <f>AR382</f>
        <v>0.24431526358157699</v>
      </c>
      <c r="AS383" s="129"/>
      <c r="AT383" s="129">
        <f>AL383</f>
        <v>151031.86557142847</v>
      </c>
      <c r="AU383" s="129"/>
      <c r="AV383" s="125">
        <f>AV382</f>
        <v>-255036.39338392863</v>
      </c>
      <c r="AW383" s="125">
        <f t="shared" si="444"/>
        <v>-285640.76059000008</v>
      </c>
      <c r="AX383" s="125"/>
      <c r="AY383" s="125"/>
      <c r="AZ383" s="125"/>
      <c r="BA383" s="125"/>
      <c r="BB383" s="125"/>
      <c r="BC383" s="125"/>
      <c r="BD383" s="125"/>
      <c r="BE383" s="125"/>
      <c r="BF383" s="118"/>
      <c r="BG383" s="125"/>
      <c r="BH383" s="125"/>
      <c r="BI383" s="125"/>
      <c r="BJ383" s="125"/>
      <c r="BK383" s="125"/>
      <c r="BL383" s="125"/>
      <c r="BM383" s="25"/>
      <c r="BN383" s="25"/>
      <c r="BO383" s="25"/>
      <c r="BP383" s="25"/>
      <c r="BQ383" s="25"/>
      <c r="BR383" s="25"/>
      <c r="BS383" s="25"/>
      <c r="BT383" s="25"/>
      <c r="BW383" s="386"/>
      <c r="BX383" s="386"/>
    </row>
    <row r="384" spans="1:76" x14ac:dyDescent="0.25">
      <c r="A384" s="368"/>
      <c r="B384" s="369"/>
      <c r="C384" s="193" t="s">
        <v>69</v>
      </c>
      <c r="D384" s="193" t="s">
        <v>70</v>
      </c>
      <c r="E384" s="194"/>
      <c r="F384" s="194">
        <f t="shared" si="439"/>
        <v>0</v>
      </c>
      <c r="G384" s="394"/>
      <c r="H384" s="395"/>
      <c r="I384" s="195"/>
      <c r="J384" s="195">
        <f>I384*1.12</f>
        <v>0</v>
      </c>
      <c r="K384" s="370" t="s">
        <v>140</v>
      </c>
      <c r="L384" s="379" t="s">
        <v>192</v>
      </c>
      <c r="M384" s="372" t="s">
        <v>96</v>
      </c>
      <c r="N384" s="196">
        <f t="shared" si="471"/>
        <v>177350328.53571427</v>
      </c>
      <c r="O384" s="196">
        <f t="shared" si="471"/>
        <v>198632367.96000001</v>
      </c>
      <c r="P384" s="196">
        <f t="shared" si="472"/>
        <v>177350328.53571427</v>
      </c>
      <c r="Q384" s="247">
        <v>198632367.96000001</v>
      </c>
      <c r="R384" s="353" t="s">
        <v>147</v>
      </c>
      <c r="S384" s="376">
        <v>66</v>
      </c>
      <c r="T384" s="198"/>
      <c r="U384" s="198"/>
      <c r="V384" s="198"/>
      <c r="W384" s="198"/>
      <c r="X384" s="198"/>
      <c r="Y384" s="198"/>
      <c r="Z384" s="198"/>
      <c r="AA384" s="198"/>
      <c r="AB384" s="198"/>
      <c r="AC384" s="198"/>
      <c r="AD384" s="197">
        <f t="shared" si="476"/>
        <v>0</v>
      </c>
      <c r="AE384" s="198"/>
      <c r="AF384" s="198">
        <f>Z384+AC384+W384+T384</f>
        <v>0</v>
      </c>
      <c r="AG384" s="198">
        <f>AA384+AD384+X384+U384</f>
        <v>0</v>
      </c>
      <c r="AH384" s="198">
        <f>AB384+AE384+Y384+V384</f>
        <v>0</v>
      </c>
      <c r="AI384" s="198"/>
      <c r="AJ384" s="198"/>
      <c r="AK384" s="198"/>
      <c r="AL384" s="198">
        <f>129816+7785</f>
        <v>137601</v>
      </c>
      <c r="AM384" s="199">
        <f t="shared" si="477"/>
        <v>154113.12000000002</v>
      </c>
      <c r="AN384" s="198">
        <f>7+17+16+11+11+4</f>
        <v>66</v>
      </c>
      <c r="AO384" s="194">
        <f>AL384-($AI$378/$AK$378*$AN$384)+($AI$378/$AK$378*AQ384)</f>
        <v>-336631.06285714288</v>
      </c>
      <c r="AP384" s="199">
        <f>AO384*1.12</f>
        <v>-377026.79040000006</v>
      </c>
      <c r="AQ384" s="237">
        <f>AN384-(10+14+16+11+11+4)</f>
        <v>0</v>
      </c>
      <c r="AR384" s="200">
        <f>IF($AI$378=0,"",AL384/($AI$378/$AK$378*AN384))</f>
        <v>0.29015541288158486</v>
      </c>
      <c r="AS384" s="201"/>
      <c r="AT384" s="201"/>
      <c r="AU384" s="201"/>
      <c r="AV384" s="199">
        <f>P384/1000+AZ384</f>
        <v>-159280.73432142861</v>
      </c>
      <c r="AW384" s="199">
        <f t="shared" si="444"/>
        <v>-178394.42244000005</v>
      </c>
      <c r="AX384" s="199">
        <f>S384</f>
        <v>66</v>
      </c>
      <c r="AY384" s="199"/>
      <c r="AZ384" s="199">
        <f>AL384-($AI$378/$AK$378*AN384)</f>
        <v>-336631.06285714288</v>
      </c>
      <c r="BA384" s="199"/>
      <c r="BB384" s="199"/>
      <c r="BC384" s="199"/>
      <c r="BD384" s="199"/>
      <c r="BE384" s="199"/>
      <c r="BF384" s="199"/>
      <c r="BG384" s="199"/>
      <c r="BH384" s="199"/>
      <c r="BI384" s="199"/>
      <c r="BJ384" s="199"/>
      <c r="BK384" s="199"/>
      <c r="BL384" s="199">
        <f>$AI$378/$AK$378*AQ384</f>
        <v>0</v>
      </c>
      <c r="BM384" s="202"/>
      <c r="BN384" s="202"/>
      <c r="BO384" s="202"/>
      <c r="BP384" s="202"/>
      <c r="BQ384" s="202"/>
      <c r="BR384" s="202"/>
      <c r="BS384" s="202"/>
      <c r="BT384" s="202"/>
      <c r="BU384" s="204"/>
      <c r="BV384" s="204"/>
      <c r="BW384" s="386"/>
      <c r="BX384" s="386"/>
    </row>
    <row r="385" spans="1:76" x14ac:dyDescent="0.25">
      <c r="A385" s="368"/>
      <c r="B385" s="369"/>
      <c r="C385" s="117" t="s">
        <v>71</v>
      </c>
      <c r="D385" s="117" t="s">
        <v>72</v>
      </c>
      <c r="E385" s="163"/>
      <c r="F385" s="163">
        <f t="shared" si="439"/>
        <v>0</v>
      </c>
      <c r="G385" s="394"/>
      <c r="H385" s="395"/>
      <c r="I385" s="161"/>
      <c r="J385" s="161">
        <f t="shared" ref="J385" si="479">I385*1.12</f>
        <v>0</v>
      </c>
      <c r="K385" s="370"/>
      <c r="L385" s="380"/>
      <c r="M385" s="373"/>
      <c r="N385" s="127">
        <f t="shared" si="471"/>
        <v>177350328.53571427</v>
      </c>
      <c r="O385" s="127">
        <f t="shared" si="471"/>
        <v>198632367.96000001</v>
      </c>
      <c r="P385" s="120">
        <f t="shared" si="472"/>
        <v>177350328.53571427</v>
      </c>
      <c r="Q385" s="162">
        <f>Q384</f>
        <v>198632367.96000001</v>
      </c>
      <c r="R385" s="375"/>
      <c r="S385" s="377"/>
      <c r="T385" s="119"/>
      <c r="U385" s="119"/>
      <c r="V385" s="119"/>
      <c r="W385" s="119"/>
      <c r="X385" s="119"/>
      <c r="Y385" s="119"/>
      <c r="Z385" s="119"/>
      <c r="AA385" s="119"/>
      <c r="AB385" s="119"/>
      <c r="AC385" s="119">
        <f>AC386</f>
        <v>0</v>
      </c>
      <c r="AD385" s="206">
        <f t="shared" si="476"/>
        <v>0</v>
      </c>
      <c r="AE385" s="119"/>
      <c r="AF385" s="119">
        <f>AC385+Z385+W385+T385</f>
        <v>0</v>
      </c>
      <c r="AG385" s="119">
        <f>AD385+AA385+X385+U385</f>
        <v>0</v>
      </c>
      <c r="AH385" s="119"/>
      <c r="AI385" s="119"/>
      <c r="AJ385" s="119"/>
      <c r="AK385" s="119"/>
      <c r="AL385" s="119">
        <f>AL386</f>
        <v>85313.213339285721</v>
      </c>
      <c r="AM385" s="118">
        <f t="shared" si="477"/>
        <v>95550.798940000022</v>
      </c>
      <c r="AN385" s="119"/>
      <c r="AO385" s="118">
        <f>AL385-($AI$379/$AK$378*$AN$384)+$AI$379/$AK$378*AQ384</f>
        <v>-331015.00351785717</v>
      </c>
      <c r="AP385" s="118">
        <f>AO385*1.12</f>
        <v>-370736.80394000007</v>
      </c>
      <c r="AQ385" s="118"/>
      <c r="AR385" s="121">
        <f>IF($AI$379=0,"",AL385/($AI$379/$AK$378*AN384))</f>
        <v>0.20491816284592534</v>
      </c>
      <c r="AS385" s="122"/>
      <c r="AT385" s="122">
        <f>AL385</f>
        <v>85313.213339285721</v>
      </c>
      <c r="AU385" s="122"/>
      <c r="AV385" s="118">
        <f>AV384</f>
        <v>-159280.73432142861</v>
      </c>
      <c r="AW385" s="118">
        <f t="shared" si="444"/>
        <v>-178394.42244000005</v>
      </c>
      <c r="AX385" s="118"/>
      <c r="AY385" s="118"/>
      <c r="AZ385" s="118"/>
      <c r="BA385" s="118"/>
      <c r="BB385" s="118"/>
      <c r="BC385" s="118"/>
      <c r="BD385" s="118"/>
      <c r="BE385" s="118"/>
      <c r="BF385" s="118"/>
      <c r="BG385" s="118"/>
      <c r="BH385" s="118"/>
      <c r="BI385" s="118"/>
      <c r="BJ385" s="118"/>
      <c r="BK385" s="118"/>
      <c r="BL385" s="118"/>
      <c r="BM385" s="100"/>
      <c r="BN385" s="100"/>
      <c r="BO385" s="100"/>
      <c r="BP385" s="100"/>
      <c r="BQ385" s="100"/>
      <c r="BR385" s="100"/>
      <c r="BS385" s="100"/>
      <c r="BT385" s="100"/>
      <c r="BU385" s="97"/>
      <c r="BV385" s="97"/>
      <c r="BW385" s="386"/>
      <c r="BX385" s="386"/>
    </row>
    <row r="386" spans="1:76" x14ac:dyDescent="0.25">
      <c r="A386" s="368"/>
      <c r="B386" s="369"/>
      <c r="C386" s="124" t="s">
        <v>71</v>
      </c>
      <c r="D386" s="124" t="s">
        <v>73</v>
      </c>
      <c r="E386" s="167"/>
      <c r="F386" s="167">
        <f t="shared" si="439"/>
        <v>0</v>
      </c>
      <c r="G386" s="394"/>
      <c r="H386" s="395"/>
      <c r="I386" s="166"/>
      <c r="J386" s="166">
        <f>I386*1.12</f>
        <v>0</v>
      </c>
      <c r="K386" s="370"/>
      <c r="L386" s="381"/>
      <c r="M386" s="374"/>
      <c r="N386" s="127">
        <f t="shared" si="471"/>
        <v>177350328.53571427</v>
      </c>
      <c r="O386" s="127">
        <f t="shared" si="471"/>
        <v>198632367.96000001</v>
      </c>
      <c r="P386" s="127">
        <f t="shared" si="472"/>
        <v>177350328.53571427</v>
      </c>
      <c r="Q386" s="232">
        <f>Q385</f>
        <v>198632367.96000001</v>
      </c>
      <c r="R386" s="354"/>
      <c r="S386" s="378"/>
      <c r="T386" s="126"/>
      <c r="U386" s="126"/>
      <c r="V386" s="126"/>
      <c r="W386" s="126"/>
      <c r="X386" s="126"/>
      <c r="Y386" s="126"/>
      <c r="Z386" s="126"/>
      <c r="AA386" s="126"/>
      <c r="AB386" s="126"/>
      <c r="AC386" s="126"/>
      <c r="AD386" s="37">
        <f t="shared" si="476"/>
        <v>0</v>
      </c>
      <c r="AE386" s="126"/>
      <c r="AF386" s="126">
        <f>AC386+Z386+W386+T386</f>
        <v>0</v>
      </c>
      <c r="AG386" s="126">
        <f>AD386+AA386+X386+U386</f>
        <v>0</v>
      </c>
      <c r="AH386" s="126"/>
      <c r="AI386" s="126"/>
      <c r="AJ386" s="126"/>
      <c r="AK386" s="126"/>
      <c r="AL386" s="126">
        <f>12966.87645/1.12+23744.31666/1.12+19174.24684/1.12+16216.77931/1.12+18892.58842/1.12+4555.99126/1.12</f>
        <v>85313.213339285721</v>
      </c>
      <c r="AM386" s="125">
        <f t="shared" si="477"/>
        <v>95550.798940000022</v>
      </c>
      <c r="AN386" s="126"/>
      <c r="AO386" s="125">
        <f>AO385</f>
        <v>-331015.00351785717</v>
      </c>
      <c r="AP386" s="125">
        <f>AP385</f>
        <v>-370736.80394000007</v>
      </c>
      <c r="AQ386" s="125"/>
      <c r="AR386" s="128">
        <f>AR385</f>
        <v>0.20491816284592534</v>
      </c>
      <c r="AS386" s="129"/>
      <c r="AT386" s="129">
        <f>AL386</f>
        <v>85313.213339285721</v>
      </c>
      <c r="AU386" s="129"/>
      <c r="AV386" s="125">
        <f>AV385</f>
        <v>-159280.73432142861</v>
      </c>
      <c r="AW386" s="125">
        <f t="shared" si="444"/>
        <v>-178394.42244000005</v>
      </c>
      <c r="AX386" s="125"/>
      <c r="AY386" s="125"/>
      <c r="AZ386" s="125"/>
      <c r="BA386" s="125"/>
      <c r="BB386" s="125"/>
      <c r="BC386" s="125"/>
      <c r="BD386" s="125"/>
      <c r="BE386" s="125"/>
      <c r="BF386" s="118"/>
      <c r="BG386" s="125"/>
      <c r="BH386" s="125"/>
      <c r="BI386" s="125"/>
      <c r="BJ386" s="125"/>
      <c r="BK386" s="125"/>
      <c r="BL386" s="125"/>
      <c r="BM386" s="25"/>
      <c r="BN386" s="25"/>
      <c r="BO386" s="25"/>
      <c r="BP386" s="25"/>
      <c r="BQ386" s="25"/>
      <c r="BR386" s="25"/>
      <c r="BS386" s="25"/>
      <c r="BT386" s="25"/>
      <c r="BW386" s="386"/>
      <c r="BX386" s="386"/>
    </row>
    <row r="387" spans="1:76" x14ac:dyDescent="0.25">
      <c r="A387" s="368"/>
      <c r="B387" s="369"/>
      <c r="C387" s="193" t="s">
        <v>69</v>
      </c>
      <c r="D387" s="193" t="s">
        <v>70</v>
      </c>
      <c r="E387" s="194"/>
      <c r="F387" s="194">
        <f t="shared" si="439"/>
        <v>0</v>
      </c>
      <c r="G387" s="394"/>
      <c r="H387" s="395"/>
      <c r="I387" s="195"/>
      <c r="J387" s="195">
        <f>I387*1.12</f>
        <v>0</v>
      </c>
      <c r="K387" s="370" t="s">
        <v>193</v>
      </c>
      <c r="L387" s="379" t="s">
        <v>194</v>
      </c>
      <c r="M387" s="372" t="s">
        <v>96</v>
      </c>
      <c r="N387" s="196">
        <f t="shared" si="471"/>
        <v>150479066.6428571</v>
      </c>
      <c r="O387" s="196">
        <f t="shared" si="471"/>
        <v>168536554.63999999</v>
      </c>
      <c r="P387" s="196">
        <f t="shared" si="472"/>
        <v>150479066.6428571</v>
      </c>
      <c r="Q387" s="247">
        <v>168536554.63999999</v>
      </c>
      <c r="R387" s="353" t="s">
        <v>147</v>
      </c>
      <c r="S387" s="376">
        <v>56</v>
      </c>
      <c r="T387" s="198"/>
      <c r="U387" s="198"/>
      <c r="V387" s="198"/>
      <c r="W387" s="198"/>
      <c r="X387" s="198"/>
      <c r="Y387" s="198"/>
      <c r="Z387" s="198"/>
      <c r="AA387" s="198"/>
      <c r="AB387" s="198"/>
      <c r="AC387" s="198"/>
      <c r="AD387" s="197">
        <f t="shared" si="476"/>
        <v>0</v>
      </c>
      <c r="AE387" s="198"/>
      <c r="AF387" s="198">
        <f>Z387+AC387+W387+T387</f>
        <v>0</v>
      </c>
      <c r="AG387" s="198">
        <f>AA387+AD387+X387+U387</f>
        <v>0</v>
      </c>
      <c r="AH387" s="198">
        <f>AB387+AE387+Y387+V387</f>
        <v>0</v>
      </c>
      <c r="AI387" s="198"/>
      <c r="AJ387" s="198"/>
      <c r="AK387" s="198"/>
      <c r="AL387" s="198">
        <f>(86817+23759+1)+4814</f>
        <v>115391</v>
      </c>
      <c r="AM387" s="199">
        <f t="shared" si="477"/>
        <v>129237.92000000001</v>
      </c>
      <c r="AN387" s="198">
        <f>9+10+12+5+7+11+2</f>
        <v>56</v>
      </c>
      <c r="AO387" s="199">
        <f>AL387-($AI$378/$AK$378*$AN$387)+$AI$378/$AK$378*AQ387</f>
        <v>-286987.72000000003</v>
      </c>
      <c r="AP387" s="199">
        <f>AO387*1.12</f>
        <v>-321426.24640000006</v>
      </c>
      <c r="AQ387" s="237">
        <f>AN387-(9+10+12+5+10+10)</f>
        <v>0</v>
      </c>
      <c r="AR387" s="200">
        <f>IF($AI$378=0,"",AL387/($AI$378/$AK$378*AN387))</f>
        <v>0.28677212353575754</v>
      </c>
      <c r="AS387" s="201"/>
      <c r="AT387" s="201"/>
      <c r="AU387" s="201"/>
      <c r="AV387" s="199">
        <f>P387/1000+AZ387</f>
        <v>-136508.65335714293</v>
      </c>
      <c r="AW387" s="199">
        <f t="shared" si="444"/>
        <v>-152889.6917600001</v>
      </c>
      <c r="AX387" s="199">
        <f>S387</f>
        <v>56</v>
      </c>
      <c r="AY387" s="199"/>
      <c r="AZ387" s="199">
        <f>AL387-($AI$378/$AK$378*AN387)</f>
        <v>-286987.72000000003</v>
      </c>
      <c r="BA387" s="199"/>
      <c r="BB387" s="199"/>
      <c r="BC387" s="199"/>
      <c r="BD387" s="199"/>
      <c r="BE387" s="199"/>
      <c r="BF387" s="199"/>
      <c r="BG387" s="199"/>
      <c r="BH387" s="199"/>
      <c r="BI387" s="199"/>
      <c r="BJ387" s="199"/>
      <c r="BK387" s="199"/>
      <c r="BL387" s="199">
        <f>$AI$378/$AK$378*AQ387</f>
        <v>0</v>
      </c>
      <c r="BM387" s="202"/>
      <c r="BN387" s="202"/>
      <c r="BO387" s="202"/>
      <c r="BP387" s="202"/>
      <c r="BQ387" s="202"/>
      <c r="BR387" s="202"/>
      <c r="BS387" s="202"/>
      <c r="BT387" s="202"/>
      <c r="BU387" s="204"/>
      <c r="BV387" s="204"/>
      <c r="BW387" s="386"/>
      <c r="BX387" s="386"/>
    </row>
    <row r="388" spans="1:76" x14ac:dyDescent="0.25">
      <c r="A388" s="368"/>
      <c r="B388" s="369"/>
      <c r="C388" s="117" t="s">
        <v>71</v>
      </c>
      <c r="D388" s="117" t="s">
        <v>72</v>
      </c>
      <c r="E388" s="163"/>
      <c r="F388" s="163">
        <f t="shared" si="439"/>
        <v>0</v>
      </c>
      <c r="G388" s="394"/>
      <c r="H388" s="395"/>
      <c r="I388" s="161"/>
      <c r="J388" s="161">
        <f t="shared" ref="J388" si="480">I388*1.12</f>
        <v>0</v>
      </c>
      <c r="K388" s="370"/>
      <c r="L388" s="380"/>
      <c r="M388" s="373"/>
      <c r="N388" s="127">
        <f t="shared" si="471"/>
        <v>150479066.6428571</v>
      </c>
      <c r="O388" s="127">
        <f t="shared" si="471"/>
        <v>168536554.63999999</v>
      </c>
      <c r="P388" s="120">
        <f t="shared" si="472"/>
        <v>150479066.6428571</v>
      </c>
      <c r="Q388" s="162">
        <f>Q387</f>
        <v>168536554.63999999</v>
      </c>
      <c r="R388" s="375"/>
      <c r="S388" s="377"/>
      <c r="T388" s="119"/>
      <c r="U388" s="119"/>
      <c r="V388" s="119"/>
      <c r="W388" s="119"/>
      <c r="X388" s="119"/>
      <c r="Y388" s="119"/>
      <c r="Z388" s="119"/>
      <c r="AA388" s="119"/>
      <c r="AB388" s="119"/>
      <c r="AC388" s="119">
        <f>AC389</f>
        <v>0</v>
      </c>
      <c r="AD388" s="206">
        <f t="shared" si="476"/>
        <v>0</v>
      </c>
      <c r="AE388" s="119"/>
      <c r="AF388" s="119">
        <f>AC388+Z388+W388+T388</f>
        <v>0</v>
      </c>
      <c r="AG388" s="119">
        <f>AD388+AA388+X388+U388</f>
        <v>0</v>
      </c>
      <c r="AH388" s="119"/>
      <c r="AI388" s="119"/>
      <c r="AJ388" s="119"/>
      <c r="AK388" s="119"/>
      <c r="AL388" s="119">
        <f>AL389</f>
        <v>96960.115633928552</v>
      </c>
      <c r="AM388" s="118">
        <f t="shared" si="477"/>
        <v>108595.32950999998</v>
      </c>
      <c r="AN388" s="119"/>
      <c r="AO388" s="118">
        <f>AL388-($AI$379/$AK$378*$AN$387)+$AI$379/$AK$378*AQ387</f>
        <v>-256288.06836607144</v>
      </c>
      <c r="AP388" s="118">
        <f>AO388*1.12</f>
        <v>-287042.63657000003</v>
      </c>
      <c r="AQ388" s="118"/>
      <c r="AR388" s="121">
        <f>IF($AI$379=0,"",AL388/($AI$379/$AK$378*AN387))</f>
        <v>0.2744815685561417</v>
      </c>
      <c r="AS388" s="122"/>
      <c r="AT388" s="122">
        <f>AL388</f>
        <v>96960.115633928552</v>
      </c>
      <c r="AU388" s="122"/>
      <c r="AV388" s="118">
        <f>AV387</f>
        <v>-136508.65335714293</v>
      </c>
      <c r="AW388" s="118">
        <f t="shared" si="444"/>
        <v>-152889.6917600001</v>
      </c>
      <c r="AX388" s="118"/>
      <c r="AY388" s="118"/>
      <c r="AZ388" s="118"/>
      <c r="BA388" s="118"/>
      <c r="BB388" s="118"/>
      <c r="BC388" s="118"/>
      <c r="BD388" s="118"/>
      <c r="BE388" s="118"/>
      <c r="BF388" s="118"/>
      <c r="BG388" s="118"/>
      <c r="BH388" s="118"/>
      <c r="BI388" s="118"/>
      <c r="BJ388" s="118"/>
      <c r="BK388" s="118"/>
      <c r="BL388" s="118"/>
      <c r="BM388" s="100"/>
      <c r="BN388" s="100"/>
      <c r="BO388" s="100"/>
      <c r="BP388" s="100"/>
      <c r="BQ388" s="100"/>
      <c r="BR388" s="100"/>
      <c r="BS388" s="100"/>
      <c r="BT388" s="100"/>
      <c r="BU388" s="97"/>
      <c r="BV388" s="97"/>
      <c r="BW388" s="386"/>
      <c r="BX388" s="386"/>
    </row>
    <row r="389" spans="1:76" x14ac:dyDescent="0.25">
      <c r="A389" s="368"/>
      <c r="B389" s="369"/>
      <c r="C389" s="124" t="s">
        <v>71</v>
      </c>
      <c r="D389" s="124" t="s">
        <v>73</v>
      </c>
      <c r="E389" s="167"/>
      <c r="F389" s="167">
        <f t="shared" si="439"/>
        <v>0</v>
      </c>
      <c r="G389" s="394"/>
      <c r="H389" s="395"/>
      <c r="I389" s="166"/>
      <c r="J389" s="166">
        <f>I389*1.12</f>
        <v>0</v>
      </c>
      <c r="K389" s="370"/>
      <c r="L389" s="381"/>
      <c r="M389" s="374"/>
      <c r="N389" s="127">
        <f t="shared" si="471"/>
        <v>150479066.6428571</v>
      </c>
      <c r="O389" s="127">
        <f t="shared" si="471"/>
        <v>168536554.63999999</v>
      </c>
      <c r="P389" s="127">
        <f t="shared" si="472"/>
        <v>150479066.6428571</v>
      </c>
      <c r="Q389" s="232">
        <f>Q388</f>
        <v>168536554.63999999</v>
      </c>
      <c r="R389" s="354"/>
      <c r="S389" s="378"/>
      <c r="T389" s="126"/>
      <c r="U389" s="126"/>
      <c r="V389" s="126"/>
      <c r="W389" s="126"/>
      <c r="X389" s="126"/>
      <c r="Y389" s="126"/>
      <c r="Z389" s="126"/>
      <c r="AA389" s="126"/>
      <c r="AB389" s="126"/>
      <c r="AC389" s="126"/>
      <c r="AD389" s="37">
        <f t="shared" si="476"/>
        <v>0</v>
      </c>
      <c r="AE389" s="126"/>
      <c r="AF389" s="126">
        <f>AC389+Z389+W389+T389</f>
        <v>0</v>
      </c>
      <c r="AG389" s="126">
        <f>AD389+AA389+X389+U389</f>
        <v>0</v>
      </c>
      <c r="AH389" s="126"/>
      <c r="AI389" s="126"/>
      <c r="AJ389" s="126"/>
      <c r="AK389" s="126"/>
      <c r="AL389" s="126">
        <f>0+31026.13971/1.12+20967.73188/1.12+11551.37172/1.12+16482.41275/1.12+23426.20403/1.12+5141.46942/1.12</f>
        <v>96960.115633928552</v>
      </c>
      <c r="AM389" s="125">
        <f t="shared" si="477"/>
        <v>108595.32950999998</v>
      </c>
      <c r="AN389" s="126"/>
      <c r="AO389" s="125">
        <f>AO388</f>
        <v>-256288.06836607144</v>
      </c>
      <c r="AP389" s="125">
        <f>AP388</f>
        <v>-287042.63657000003</v>
      </c>
      <c r="AQ389" s="125"/>
      <c r="AR389" s="128">
        <f>AR388</f>
        <v>0.2744815685561417</v>
      </c>
      <c r="AS389" s="129"/>
      <c r="AT389" s="129">
        <f>AL389</f>
        <v>96960.115633928552</v>
      </c>
      <c r="AU389" s="129"/>
      <c r="AV389" s="125">
        <f>AV388</f>
        <v>-136508.65335714293</v>
      </c>
      <c r="AW389" s="125">
        <f t="shared" si="444"/>
        <v>-152889.6917600001</v>
      </c>
      <c r="AX389" s="125"/>
      <c r="AY389" s="125"/>
      <c r="AZ389" s="125"/>
      <c r="BA389" s="125"/>
      <c r="BB389" s="125"/>
      <c r="BC389" s="125"/>
      <c r="BD389" s="125"/>
      <c r="BE389" s="125"/>
      <c r="BF389" s="118"/>
      <c r="BG389" s="125"/>
      <c r="BH389" s="125"/>
      <c r="BI389" s="125"/>
      <c r="BJ389" s="125"/>
      <c r="BK389" s="125"/>
      <c r="BL389" s="125"/>
      <c r="BM389" s="25"/>
      <c r="BN389" s="25"/>
      <c r="BO389" s="25"/>
      <c r="BP389" s="25"/>
      <c r="BQ389" s="25"/>
      <c r="BR389" s="25"/>
      <c r="BS389" s="25"/>
      <c r="BT389" s="25"/>
      <c r="BW389" s="386"/>
      <c r="BX389" s="386"/>
    </row>
    <row r="390" spans="1:76" x14ac:dyDescent="0.25">
      <c r="A390" s="368"/>
      <c r="B390" s="369"/>
      <c r="C390" s="193" t="s">
        <v>69</v>
      </c>
      <c r="D390" s="193" t="s">
        <v>70</v>
      </c>
      <c r="E390" s="194"/>
      <c r="F390" s="194">
        <f t="shared" si="439"/>
        <v>0</v>
      </c>
      <c r="G390" s="394"/>
      <c r="H390" s="395"/>
      <c r="I390" s="195"/>
      <c r="J390" s="195">
        <f>I390*1.12</f>
        <v>0</v>
      </c>
      <c r="K390" s="370" t="s">
        <v>195</v>
      </c>
      <c r="L390" s="382" t="s">
        <v>196</v>
      </c>
      <c r="M390" s="372" t="s">
        <v>96</v>
      </c>
      <c r="N390" s="196">
        <f t="shared" si="471"/>
        <v>99423669.026785702</v>
      </c>
      <c r="O390" s="196">
        <f t="shared" si="471"/>
        <v>111354509.31</v>
      </c>
      <c r="P390" s="196">
        <f t="shared" si="472"/>
        <v>99423669.026785702</v>
      </c>
      <c r="Q390" s="247">
        <v>111354509.31</v>
      </c>
      <c r="R390" s="353" t="s">
        <v>147</v>
      </c>
      <c r="S390" s="376">
        <v>37</v>
      </c>
      <c r="T390" s="198"/>
      <c r="U390" s="198"/>
      <c r="V390" s="198"/>
      <c r="W390" s="198"/>
      <c r="X390" s="198"/>
      <c r="Y390" s="198"/>
      <c r="Z390" s="198"/>
      <c r="AA390" s="198"/>
      <c r="AB390" s="198"/>
      <c r="AC390" s="198"/>
      <c r="AD390" s="197">
        <f t="shared" si="476"/>
        <v>0</v>
      </c>
      <c r="AE390" s="198"/>
      <c r="AF390" s="198">
        <f>Z390+AC390+W390+T390</f>
        <v>0</v>
      </c>
      <c r="AG390" s="198">
        <f>AA390+AD390+X390+U390</f>
        <v>0</v>
      </c>
      <c r="AH390" s="198">
        <f>AB390+AE390+Y390+V390</f>
        <v>0</v>
      </c>
      <c r="AI390" s="198"/>
      <c r="AJ390" s="198"/>
      <c r="AK390" s="198"/>
      <c r="AL390" s="198">
        <f>106204-1</f>
        <v>106203</v>
      </c>
      <c r="AM390" s="199">
        <f t="shared" si="477"/>
        <v>118947.36000000002</v>
      </c>
      <c r="AN390" s="198">
        <f>5+10+10+5+7</f>
        <v>37</v>
      </c>
      <c r="AO390" s="199">
        <f>AL390-($AI$378/$AK$378*$AN$390)+($AI$378/$AK$378*AQ390)</f>
        <v>-159654.36857142858</v>
      </c>
      <c r="AP390" s="199">
        <f>AO390*1.12</f>
        <v>-178812.89280000003</v>
      </c>
      <c r="AQ390" s="237">
        <f>AN390-(5+10+10+5+7)</f>
        <v>0</v>
      </c>
      <c r="AR390" s="200">
        <f>IF($AI$378=0,"",AL390/($AI$378/$AK$378*AN390))</f>
        <v>0.39947359958716422</v>
      </c>
      <c r="AS390" s="201"/>
      <c r="AT390" s="201"/>
      <c r="AU390" s="201"/>
      <c r="AV390" s="194">
        <f>P390/1000+AZ390</f>
        <v>-60230.699544642877</v>
      </c>
      <c r="AW390" s="199">
        <f t="shared" si="444"/>
        <v>-67458.383490000022</v>
      </c>
      <c r="AX390" s="199">
        <f>S390</f>
        <v>37</v>
      </c>
      <c r="AY390" s="199"/>
      <c r="AZ390" s="199">
        <f>AL390-($AI$378/$AK$378*AN390)</f>
        <v>-159654.36857142858</v>
      </c>
      <c r="BA390" s="199"/>
      <c r="BB390" s="199"/>
      <c r="BC390" s="199"/>
      <c r="BD390" s="199"/>
      <c r="BE390" s="199"/>
      <c r="BF390" s="199"/>
      <c r="BG390" s="199"/>
      <c r="BH390" s="199"/>
      <c r="BI390" s="199"/>
      <c r="BJ390" s="199"/>
      <c r="BK390" s="199"/>
      <c r="BL390" s="199">
        <f>$AI$378/$AK$378*AQ390</f>
        <v>0</v>
      </c>
      <c r="BM390" s="202"/>
      <c r="BN390" s="202"/>
      <c r="BO390" s="202"/>
      <c r="BP390" s="202"/>
      <c r="BQ390" s="202"/>
      <c r="BR390" s="202"/>
      <c r="BS390" s="202"/>
      <c r="BT390" s="202"/>
      <c r="BU390" s="204"/>
      <c r="BV390" s="204"/>
      <c r="BW390" s="386"/>
      <c r="BX390" s="386"/>
    </row>
    <row r="391" spans="1:76" x14ac:dyDescent="0.25">
      <c r="A391" s="368"/>
      <c r="B391" s="369"/>
      <c r="C391" s="117" t="s">
        <v>71</v>
      </c>
      <c r="D391" s="117" t="s">
        <v>72</v>
      </c>
      <c r="E391" s="163"/>
      <c r="F391" s="163">
        <f t="shared" si="439"/>
        <v>0</v>
      </c>
      <c r="G391" s="394"/>
      <c r="H391" s="395"/>
      <c r="I391" s="161"/>
      <c r="J391" s="161">
        <f t="shared" ref="J391" si="481">I391*1.12</f>
        <v>0</v>
      </c>
      <c r="K391" s="370"/>
      <c r="L391" s="383"/>
      <c r="M391" s="373"/>
      <c r="N391" s="127">
        <f t="shared" si="471"/>
        <v>99423669.026785702</v>
      </c>
      <c r="O391" s="127">
        <f t="shared" si="471"/>
        <v>111354509.31</v>
      </c>
      <c r="P391" s="120">
        <f t="shared" si="472"/>
        <v>99423669.026785702</v>
      </c>
      <c r="Q391" s="162">
        <f>Q390</f>
        <v>111354509.31</v>
      </c>
      <c r="R391" s="375"/>
      <c r="S391" s="377"/>
      <c r="T391" s="119"/>
      <c r="U391" s="119"/>
      <c r="V391" s="119"/>
      <c r="W391" s="119"/>
      <c r="X391" s="119"/>
      <c r="Y391" s="119"/>
      <c r="Z391" s="119"/>
      <c r="AA391" s="119"/>
      <c r="AB391" s="119"/>
      <c r="AC391" s="119">
        <f>AC392</f>
        <v>0</v>
      </c>
      <c r="AD391" s="206">
        <f t="shared" si="476"/>
        <v>0</v>
      </c>
      <c r="AE391" s="119"/>
      <c r="AF391" s="119">
        <f>AC391+Z391+W391+T391</f>
        <v>0</v>
      </c>
      <c r="AG391" s="119">
        <f>AD391+AA391+X391+U391</f>
        <v>0</v>
      </c>
      <c r="AH391" s="119"/>
      <c r="AI391" s="119"/>
      <c r="AJ391" s="119"/>
      <c r="AK391" s="119"/>
      <c r="AL391" s="119">
        <f>AL392</f>
        <v>81811.071794642834</v>
      </c>
      <c r="AM391" s="118">
        <f>AM392</f>
        <v>91628.400409999987</v>
      </c>
      <c r="AN391" s="119"/>
      <c r="AO391" s="118">
        <f>AL391-($AI$379/$AK$378*$AN$390)+$AI$379/$AK$378*AQ390</f>
        <v>-151585.04977678575</v>
      </c>
      <c r="AP391" s="118">
        <f>AO391*1.12</f>
        <v>-169775.25575000004</v>
      </c>
      <c r="AQ391" s="118"/>
      <c r="AR391" s="121">
        <f>IF($AI$379=0,"",AL391/($AI$379/$AK$378*AN390))</f>
        <v>0.35052455560880158</v>
      </c>
      <c r="AS391" s="122"/>
      <c r="AT391" s="122">
        <f>AL391</f>
        <v>81811.071794642834</v>
      </c>
      <c r="AU391" s="122"/>
      <c r="AV391" s="118">
        <f>AV390</f>
        <v>-60230.699544642877</v>
      </c>
      <c r="AW391" s="118">
        <f t="shared" si="444"/>
        <v>-67458.383490000022</v>
      </c>
      <c r="AX391" s="118"/>
      <c r="AY391" s="118"/>
      <c r="AZ391" s="118"/>
      <c r="BA391" s="118"/>
      <c r="BB391" s="118"/>
      <c r="BC391" s="118"/>
      <c r="BD391" s="118"/>
      <c r="BE391" s="118"/>
      <c r="BF391" s="118"/>
      <c r="BG391" s="118"/>
      <c r="BH391" s="118"/>
      <c r="BI391" s="118"/>
      <c r="BJ391" s="118"/>
      <c r="BK391" s="118"/>
      <c r="BL391" s="118"/>
      <c r="BM391" s="100"/>
      <c r="BN391" s="100"/>
      <c r="BO391" s="248">
        <f>BO392</f>
        <v>479.03246000000001</v>
      </c>
      <c r="BP391" s="100"/>
      <c r="BQ391" s="100"/>
      <c r="BR391" s="100"/>
      <c r="BS391" s="100"/>
      <c r="BT391" s="100"/>
      <c r="BU391" s="97"/>
      <c r="BV391" s="97"/>
      <c r="BW391" s="386"/>
      <c r="BX391" s="386"/>
    </row>
    <row r="392" spans="1:76" x14ac:dyDescent="0.25">
      <c r="A392" s="368"/>
      <c r="B392" s="369"/>
      <c r="C392" s="124" t="s">
        <v>71</v>
      </c>
      <c r="D392" s="124" t="s">
        <v>73</v>
      </c>
      <c r="E392" s="167"/>
      <c r="F392" s="167">
        <f t="shared" si="439"/>
        <v>0</v>
      </c>
      <c r="G392" s="394"/>
      <c r="H392" s="395"/>
      <c r="I392" s="166"/>
      <c r="J392" s="166">
        <f>I392*1.12</f>
        <v>0</v>
      </c>
      <c r="K392" s="370"/>
      <c r="L392" s="384"/>
      <c r="M392" s="374"/>
      <c r="N392" s="127">
        <f t="shared" si="471"/>
        <v>99423669.026785702</v>
      </c>
      <c r="O392" s="127">
        <f t="shared" si="471"/>
        <v>111354509.31</v>
      </c>
      <c r="P392" s="127">
        <f t="shared" si="472"/>
        <v>99423669.026785702</v>
      </c>
      <c r="Q392" s="232">
        <f>Q391</f>
        <v>111354509.31</v>
      </c>
      <c r="R392" s="354"/>
      <c r="S392" s="378"/>
      <c r="T392" s="126"/>
      <c r="U392" s="126"/>
      <c r="V392" s="126"/>
      <c r="W392" s="126"/>
      <c r="X392" s="126"/>
      <c r="Y392" s="126"/>
      <c r="Z392" s="126"/>
      <c r="AA392" s="126"/>
      <c r="AB392" s="126"/>
      <c r="AC392" s="126"/>
      <c r="AD392" s="37">
        <f t="shared" si="476"/>
        <v>0</v>
      </c>
      <c r="AE392" s="126"/>
      <c r="AF392" s="126">
        <f>AC392+Z392+W392+T392</f>
        <v>0</v>
      </c>
      <c r="AG392" s="126">
        <f>AD392+AA392+X392+U392</f>
        <v>0</v>
      </c>
      <c r="AH392" s="126"/>
      <c r="AI392" s="126"/>
      <c r="AJ392" s="126"/>
      <c r="AK392" s="126"/>
      <c r="AL392" s="126">
        <f>0+30129.58048/1.12+13352.38835/1.12+48146.43158/1.12</f>
        <v>81811.071794642834</v>
      </c>
      <c r="AM392" s="125">
        <f>AL392*1.12</f>
        <v>91628.400409999987</v>
      </c>
      <c r="AN392" s="126"/>
      <c r="AO392" s="125">
        <f>AO391</f>
        <v>-151585.04977678575</v>
      </c>
      <c r="AP392" s="125">
        <f>AP391</f>
        <v>-169775.25575000004</v>
      </c>
      <c r="AQ392" s="125"/>
      <c r="AR392" s="128">
        <f>AR391</f>
        <v>0.35052455560880158</v>
      </c>
      <c r="AS392" s="129"/>
      <c r="AT392" s="129">
        <f>AL392</f>
        <v>81811.071794642834</v>
      </c>
      <c r="AU392" s="129"/>
      <c r="AV392" s="125">
        <f>AV391</f>
        <v>-60230.699544642877</v>
      </c>
      <c r="AW392" s="125">
        <f t="shared" si="444"/>
        <v>-67458.383490000022</v>
      </c>
      <c r="AX392" s="125"/>
      <c r="AY392" s="125"/>
      <c r="AZ392" s="125"/>
      <c r="BA392" s="125"/>
      <c r="BB392" s="125"/>
      <c r="BC392" s="125"/>
      <c r="BD392" s="125"/>
      <c r="BE392" s="125"/>
      <c r="BF392" s="118"/>
      <c r="BG392" s="125"/>
      <c r="BH392" s="125"/>
      <c r="BI392" s="125"/>
      <c r="BJ392" s="125"/>
      <c r="BK392" s="125"/>
      <c r="BL392" s="125"/>
      <c r="BM392" s="25"/>
      <c r="BN392" s="25"/>
      <c r="BO392" s="250">
        <v>479.03246000000001</v>
      </c>
      <c r="BP392" s="25"/>
      <c r="BQ392" s="25"/>
      <c r="BR392" s="25"/>
      <c r="BS392" s="25"/>
      <c r="BT392" s="25"/>
      <c r="BW392" s="386"/>
      <c r="BX392" s="386"/>
    </row>
    <row r="393" spans="1:76" ht="21.75" customHeight="1" x14ac:dyDescent="0.25">
      <c r="A393" s="368"/>
      <c r="B393" s="369"/>
      <c r="C393" s="193" t="s">
        <v>69</v>
      </c>
      <c r="D393" s="193" t="s">
        <v>70</v>
      </c>
      <c r="E393" s="194"/>
      <c r="F393" s="194">
        <f t="shared" si="439"/>
        <v>0</v>
      </c>
      <c r="G393" s="394"/>
      <c r="H393" s="395"/>
      <c r="I393" s="195"/>
      <c r="J393" s="195">
        <f>I393*1.12</f>
        <v>0</v>
      </c>
      <c r="K393" s="370" t="s">
        <v>176</v>
      </c>
      <c r="L393" s="353" t="s">
        <v>197</v>
      </c>
      <c r="M393" s="372" t="s">
        <v>96</v>
      </c>
      <c r="N393" s="196">
        <f t="shared" si="471"/>
        <v>4030689284.9999995</v>
      </c>
      <c r="O393" s="196">
        <f t="shared" si="471"/>
        <v>4514371999.1999998</v>
      </c>
      <c r="P393" s="196">
        <f t="shared" si="472"/>
        <v>4030689284.9999995</v>
      </c>
      <c r="Q393" s="247">
        <v>4514371999.1999998</v>
      </c>
      <c r="R393" s="353" t="s">
        <v>134</v>
      </c>
      <c r="S393" s="376">
        <v>1500</v>
      </c>
      <c r="T393" s="198"/>
      <c r="U393" s="198"/>
      <c r="V393" s="198"/>
      <c r="W393" s="198"/>
      <c r="X393" s="198"/>
      <c r="Y393" s="198"/>
      <c r="Z393" s="198"/>
      <c r="AA393" s="198"/>
      <c r="AB393" s="198"/>
      <c r="AC393" s="198"/>
      <c r="AD393" s="197">
        <f t="shared" si="476"/>
        <v>0</v>
      </c>
      <c r="AE393" s="198"/>
      <c r="AF393" s="198">
        <f>Z393+AC393+W393+T393</f>
        <v>0</v>
      </c>
      <c r="AG393" s="198">
        <f>AA393+AD393+X393+U393</f>
        <v>0</v>
      </c>
      <c r="AH393" s="198">
        <f>AB393+AE393+Y393+V393</f>
        <v>0</v>
      </c>
      <c r="AI393" s="198"/>
      <c r="AJ393" s="198"/>
      <c r="AK393" s="198"/>
      <c r="AL393" s="198">
        <v>5164373</v>
      </c>
      <c r="AM393" s="199">
        <f t="shared" ref="AM393:AM408" si="482">AL393*1.12</f>
        <v>5784097.7600000007</v>
      </c>
      <c r="AN393" s="198">
        <f>146+144+119+118+1+169+148+140+117+2+96+114+84+102</f>
        <v>1500</v>
      </c>
      <c r="AO393" s="199">
        <f>AL393-($AI$378/$AK$378*$AN$393)+($AI$378/$AK$378*AQ393)</f>
        <v>-5613628.4285714291</v>
      </c>
      <c r="AP393" s="199">
        <f>AO393*1.12</f>
        <v>-6287263.8400000008</v>
      </c>
      <c r="AQ393" s="237">
        <f>AN393+AN378+AN381+AN384+AN387+AN390+AN396+AN399+AN402+AN405+AN408-AK378-AQ378-AQ381-AQ384-AQ387-AQ390-AQ396-AQ399-AQ402-AQ405-AQ408</f>
        <v>0</v>
      </c>
      <c r="AR393" s="200">
        <f>IF($AI$378=0,"",AL393/($AI$378/$AK$378*AN393))</f>
        <v>0.47915868579398696</v>
      </c>
      <c r="AS393" s="201"/>
      <c r="AT393" s="201"/>
      <c r="AU393" s="201"/>
      <c r="AV393" s="237">
        <f>I378-AV390-AV387-AV384-AV381-AV378+(AZ378+AZ381+AZ384+AZ387+AZ390)</f>
        <v>13957921.874017857</v>
      </c>
      <c r="AW393" s="199">
        <f t="shared" si="444"/>
        <v>15632872.498900002</v>
      </c>
      <c r="AX393" s="199">
        <f>H378-AX390-AX387-AX384-AX381-AX378</f>
        <v>1679</v>
      </c>
      <c r="AY393" s="199"/>
      <c r="AZ393" s="199">
        <f>AL393-($AI$378/$AK$378*AN393)</f>
        <v>-5613628.4285714291</v>
      </c>
      <c r="BA393" s="199"/>
      <c r="BB393" s="199"/>
      <c r="BC393" s="199"/>
      <c r="BD393" s="199"/>
      <c r="BE393" s="199"/>
      <c r="BF393" s="199"/>
      <c r="BG393" s="199"/>
      <c r="BH393" s="199"/>
      <c r="BI393" s="199"/>
      <c r="BJ393" s="199"/>
      <c r="BK393" s="199"/>
      <c r="BL393" s="199">
        <f>$AI$378/$AK$378*AQ393</f>
        <v>0</v>
      </c>
      <c r="BM393" s="202"/>
      <c r="BN393" s="202"/>
      <c r="BO393" s="202"/>
      <c r="BP393" s="202"/>
      <c r="BQ393" s="202"/>
      <c r="BR393" s="202"/>
      <c r="BS393" s="202"/>
      <c r="BT393" s="202"/>
      <c r="BU393" s="204"/>
      <c r="BV393" s="204"/>
      <c r="BW393" s="386"/>
      <c r="BX393" s="386"/>
    </row>
    <row r="394" spans="1:76" ht="21.75" customHeight="1" x14ac:dyDescent="0.25">
      <c r="A394" s="368"/>
      <c r="B394" s="369"/>
      <c r="C394" s="117" t="s">
        <v>71</v>
      </c>
      <c r="D394" s="117" t="s">
        <v>72</v>
      </c>
      <c r="E394" s="163"/>
      <c r="F394" s="163">
        <f t="shared" si="439"/>
        <v>0</v>
      </c>
      <c r="G394" s="394"/>
      <c r="H394" s="395"/>
      <c r="I394" s="161"/>
      <c r="J394" s="161">
        <f t="shared" ref="J394" si="483">I394*1.12</f>
        <v>0</v>
      </c>
      <c r="K394" s="370"/>
      <c r="L394" s="375"/>
      <c r="M394" s="373"/>
      <c r="N394" s="127">
        <f t="shared" si="471"/>
        <v>4030689284.9999995</v>
      </c>
      <c r="O394" s="127">
        <f t="shared" si="471"/>
        <v>4514371999.1999998</v>
      </c>
      <c r="P394" s="120">
        <f t="shared" si="472"/>
        <v>4030689284.9999995</v>
      </c>
      <c r="Q394" s="162">
        <f>Q393</f>
        <v>4514371999.1999998</v>
      </c>
      <c r="R394" s="375"/>
      <c r="S394" s="377"/>
      <c r="T394" s="119"/>
      <c r="U394" s="119"/>
      <c r="V394" s="119"/>
      <c r="W394" s="119"/>
      <c r="X394" s="119"/>
      <c r="Y394" s="119"/>
      <c r="Z394" s="119"/>
      <c r="AA394" s="119"/>
      <c r="AB394" s="119"/>
      <c r="AC394" s="119">
        <f>AC395</f>
        <v>0</v>
      </c>
      <c r="AD394" s="206">
        <f t="shared" si="476"/>
        <v>0</v>
      </c>
      <c r="AE394" s="119"/>
      <c r="AF394" s="119">
        <f>AC394+Z394+W394+T394</f>
        <v>0</v>
      </c>
      <c r="AG394" s="119">
        <f>AD394+AA394+X394+U394</f>
        <v>0</v>
      </c>
      <c r="AH394" s="119"/>
      <c r="AI394" s="119"/>
      <c r="AJ394" s="119"/>
      <c r="AK394" s="119"/>
      <c r="AL394" s="119">
        <f>AL395</f>
        <v>3270111.0563660706</v>
      </c>
      <c r="AM394" s="118">
        <f t="shared" si="482"/>
        <v>3662524.3831299995</v>
      </c>
      <c r="AN394" s="119"/>
      <c r="AO394" s="118">
        <f>AL394-($AI$379/$AK$378*$AN$393)+$AI$379/$AK$378*AQ393</f>
        <v>-6191893.872205358</v>
      </c>
      <c r="AP394" s="118">
        <f>AO394*1.12</f>
        <v>-6934921.1368700014</v>
      </c>
      <c r="AQ394" s="118"/>
      <c r="AR394" s="121">
        <f>IF($AI$379=0,"",AL394/($AI$379/$AK$378*AN393))</f>
        <v>0.34560445498095838</v>
      </c>
      <c r="AS394" s="122"/>
      <c r="AT394" s="122">
        <f>AL394</f>
        <v>3270111.0563660706</v>
      </c>
      <c r="AU394" s="122"/>
      <c r="AV394" s="118">
        <f>I379-AV391-AV388-AV385-AV382-AV379+(AZ378+AZ381+AZ384+AZ387+AZ390)</f>
        <v>12115526.874017857</v>
      </c>
      <c r="AW394" s="118">
        <f t="shared" si="444"/>
        <v>13569390.098900001</v>
      </c>
      <c r="AX394" s="118"/>
      <c r="AY394" s="118"/>
      <c r="AZ394" s="118"/>
      <c r="BA394" s="118"/>
      <c r="BB394" s="118"/>
      <c r="BC394" s="118"/>
      <c r="BD394" s="118"/>
      <c r="BE394" s="118"/>
      <c r="BF394" s="118"/>
      <c r="BG394" s="118"/>
      <c r="BH394" s="118"/>
      <c r="BI394" s="118"/>
      <c r="BJ394" s="118"/>
      <c r="BK394" s="118"/>
      <c r="BL394" s="118"/>
      <c r="BM394" s="100"/>
      <c r="BN394" s="100"/>
      <c r="BO394" s="248"/>
      <c r="BP394" s="100"/>
      <c r="BQ394" s="100"/>
      <c r="BR394" s="100"/>
      <c r="BS394" s="100"/>
      <c r="BT394" s="100"/>
      <c r="BU394" s="97"/>
      <c r="BV394" s="97"/>
      <c r="BW394" s="386"/>
      <c r="BX394" s="386"/>
    </row>
    <row r="395" spans="1:76" ht="21.75" customHeight="1" x14ac:dyDescent="0.25">
      <c r="A395" s="368"/>
      <c r="B395" s="369"/>
      <c r="C395" s="124" t="s">
        <v>71</v>
      </c>
      <c r="D395" s="124" t="s">
        <v>73</v>
      </c>
      <c r="E395" s="167"/>
      <c r="F395" s="167">
        <f t="shared" si="439"/>
        <v>0</v>
      </c>
      <c r="G395" s="394"/>
      <c r="H395" s="395"/>
      <c r="I395" s="166"/>
      <c r="J395" s="166">
        <f>I395*1.12</f>
        <v>0</v>
      </c>
      <c r="K395" s="370"/>
      <c r="L395" s="354"/>
      <c r="M395" s="374"/>
      <c r="N395" s="127">
        <f t="shared" si="471"/>
        <v>4030689284.9999995</v>
      </c>
      <c r="O395" s="127">
        <f t="shared" si="471"/>
        <v>4514371999.1999998</v>
      </c>
      <c r="P395" s="127">
        <f t="shared" si="472"/>
        <v>4030689284.9999995</v>
      </c>
      <c r="Q395" s="232">
        <f>Q394</f>
        <v>4514371999.1999998</v>
      </c>
      <c r="R395" s="354"/>
      <c r="S395" s="378"/>
      <c r="T395" s="126"/>
      <c r="U395" s="126"/>
      <c r="V395" s="126"/>
      <c r="W395" s="126"/>
      <c r="X395" s="126"/>
      <c r="Y395" s="126"/>
      <c r="Z395" s="126"/>
      <c r="AA395" s="126"/>
      <c r="AB395" s="126"/>
      <c r="AC395" s="126"/>
      <c r="AD395" s="37">
        <f t="shared" si="476"/>
        <v>0</v>
      </c>
      <c r="AE395" s="126"/>
      <c r="AF395" s="126">
        <f>AC395+Z395+W395+T395</f>
        <v>0</v>
      </c>
      <c r="AG395" s="126">
        <f>AD395+AA395+X395+U395</f>
        <v>0</v>
      </c>
      <c r="AH395" s="126"/>
      <c r="AI395" s="126"/>
      <c r="AJ395" s="126"/>
      <c r="AK395" s="126"/>
      <c r="AL395" s="126">
        <f>344068.5324/1.12+279102.77541/1.12+329705.49609/1.12+350699.15782/1.12+510620.89385/1.12+519500.37891/1.12+356956.87581/1.12+298666.24241/1.12+224930.91941/1.12+280901.79961/1.12+167371.31141/1.12</f>
        <v>3270111.0563660706</v>
      </c>
      <c r="AM395" s="125">
        <f t="shared" si="482"/>
        <v>3662524.3831299995</v>
      </c>
      <c r="AN395" s="126"/>
      <c r="AO395" s="125">
        <f>AO394</f>
        <v>-6191893.872205358</v>
      </c>
      <c r="AP395" s="125">
        <f>AP394</f>
        <v>-6934921.1368700014</v>
      </c>
      <c r="AQ395" s="125"/>
      <c r="AR395" s="128">
        <f>AR394</f>
        <v>0.34560445498095838</v>
      </c>
      <c r="AS395" s="129"/>
      <c r="AT395" s="129">
        <f>AL395</f>
        <v>3270111.0563660706</v>
      </c>
      <c r="AU395" s="129"/>
      <c r="AV395" s="125">
        <f>AV394</f>
        <v>12115526.874017857</v>
      </c>
      <c r="AW395" s="125">
        <f t="shared" si="444"/>
        <v>13569390.098900001</v>
      </c>
      <c r="AX395" s="125"/>
      <c r="AY395" s="125"/>
      <c r="AZ395" s="125"/>
      <c r="BA395" s="125"/>
      <c r="BB395" s="125"/>
      <c r="BC395" s="125"/>
      <c r="BD395" s="125"/>
      <c r="BE395" s="125"/>
      <c r="BF395" s="118"/>
      <c r="BG395" s="125"/>
      <c r="BH395" s="125"/>
      <c r="BI395" s="125"/>
      <c r="BJ395" s="125"/>
      <c r="BK395" s="125"/>
      <c r="BL395" s="125"/>
      <c r="BM395" s="25"/>
      <c r="BN395" s="25"/>
      <c r="BO395" s="250"/>
      <c r="BP395" s="25"/>
      <c r="BQ395" s="25"/>
      <c r="BR395" s="25"/>
      <c r="BS395" s="25"/>
      <c r="BT395" s="25"/>
      <c r="BW395" s="386"/>
      <c r="BX395" s="386"/>
    </row>
    <row r="396" spans="1:76" ht="17.25" customHeight="1" x14ac:dyDescent="0.25">
      <c r="A396" s="368"/>
      <c r="B396" s="369"/>
      <c r="C396" s="193" t="s">
        <v>69</v>
      </c>
      <c r="D396" s="193" t="s">
        <v>70</v>
      </c>
      <c r="E396" s="194"/>
      <c r="F396" s="194">
        <f t="shared" si="439"/>
        <v>0</v>
      </c>
      <c r="G396" s="394"/>
      <c r="H396" s="395"/>
      <c r="I396" s="195"/>
      <c r="J396" s="195">
        <f>I396*1.12</f>
        <v>0</v>
      </c>
      <c r="K396" s="370" t="s">
        <v>163</v>
      </c>
      <c r="L396" s="353" t="s">
        <v>198</v>
      </c>
      <c r="M396" s="372" t="s">
        <v>96</v>
      </c>
      <c r="N396" s="196">
        <f t="shared" si="471"/>
        <v>186076265.19642857</v>
      </c>
      <c r="O396" s="196">
        <f t="shared" si="471"/>
        <v>208405417.02000001</v>
      </c>
      <c r="P396" s="196">
        <f t="shared" si="472"/>
        <v>186076265.19642857</v>
      </c>
      <c r="Q396" s="247">
        <v>208405417.02000001</v>
      </c>
      <c r="R396" s="353" t="s">
        <v>134</v>
      </c>
      <c r="S396" s="376">
        <v>70</v>
      </c>
      <c r="T396" s="198"/>
      <c r="U396" s="198"/>
      <c r="V396" s="198"/>
      <c r="W396" s="198"/>
      <c r="X396" s="198"/>
      <c r="Y396" s="198"/>
      <c r="Z396" s="198"/>
      <c r="AA396" s="198"/>
      <c r="AB396" s="198"/>
      <c r="AC396" s="198"/>
      <c r="AD396" s="197">
        <f t="shared" si="476"/>
        <v>0</v>
      </c>
      <c r="AE396" s="198"/>
      <c r="AF396" s="198">
        <f>Z396+AC396</f>
        <v>0</v>
      </c>
      <c r="AG396" s="198">
        <f t="shared" ref="AG396:AH396" si="484">AA396+AD396</f>
        <v>0</v>
      </c>
      <c r="AH396" s="198">
        <f t="shared" si="484"/>
        <v>0</v>
      </c>
      <c r="AI396" s="198"/>
      <c r="AJ396" s="198"/>
      <c r="AK396" s="198"/>
      <c r="AL396" s="198">
        <f>76392+31624+58338+37089-1+65247+1427</f>
        <v>270116</v>
      </c>
      <c r="AM396" s="199">
        <f t="shared" si="482"/>
        <v>302529.92000000004</v>
      </c>
      <c r="AN396" s="198">
        <f>23+17+13+17</f>
        <v>70</v>
      </c>
      <c r="AO396" s="199">
        <f>AL396-($AI$378/$AK$378*$AN$396)+($AI$378/$AK$378*AQ396)</f>
        <v>-232857.40000000002</v>
      </c>
      <c r="AP396" s="199">
        <f>AO396*1.12</f>
        <v>-260800.28800000006</v>
      </c>
      <c r="AQ396" s="237">
        <f>AN396-(23+7+6+14+10+10)</f>
        <v>0</v>
      </c>
      <c r="AR396" s="200">
        <f>IF($AI$378=0,"",AL396/($AI$378/$AK$378*AN396))</f>
        <v>0.53703834039732512</v>
      </c>
      <c r="AS396" s="201"/>
      <c r="AT396" s="201"/>
      <c r="AU396" s="201"/>
      <c r="AV396" s="199">
        <f>AL396</f>
        <v>270116</v>
      </c>
      <c r="AW396" s="199">
        <f t="shared" si="444"/>
        <v>302529.92000000004</v>
      </c>
      <c r="AX396" s="199">
        <f>S396</f>
        <v>70</v>
      </c>
      <c r="AY396" s="199"/>
      <c r="AZ396" s="199">
        <f>AL396-($AI$378/$AK$378*AN396)</f>
        <v>-232857.40000000002</v>
      </c>
      <c r="BA396" s="199"/>
      <c r="BB396" s="199"/>
      <c r="BC396" s="199"/>
      <c r="BD396" s="199"/>
      <c r="BE396" s="199"/>
      <c r="BF396" s="199">
        <f>$AI$378/$AK$378*AQ396</f>
        <v>0</v>
      </c>
      <c r="BG396" s="199"/>
      <c r="BH396" s="199"/>
      <c r="BI396" s="199"/>
      <c r="BJ396" s="199"/>
      <c r="BK396" s="199"/>
      <c r="BL396" s="199"/>
      <c r="BM396" s="202"/>
      <c r="BN396" s="202"/>
      <c r="BO396" s="202"/>
      <c r="BP396" s="202"/>
      <c r="BQ396" s="202"/>
      <c r="BR396" s="202"/>
      <c r="BS396" s="202"/>
      <c r="BT396" s="202"/>
      <c r="BU396" s="204"/>
      <c r="BV396" s="204"/>
      <c r="BW396" s="386"/>
      <c r="BX396" s="386"/>
    </row>
    <row r="397" spans="1:76" ht="17.25" customHeight="1" x14ac:dyDescent="0.25">
      <c r="A397" s="368"/>
      <c r="B397" s="369"/>
      <c r="C397" s="117" t="s">
        <v>71</v>
      </c>
      <c r="D397" s="117" t="s">
        <v>72</v>
      </c>
      <c r="E397" s="163"/>
      <c r="F397" s="163">
        <f t="shared" si="439"/>
        <v>0</v>
      </c>
      <c r="G397" s="394"/>
      <c r="H397" s="395"/>
      <c r="I397" s="161"/>
      <c r="J397" s="161">
        <f t="shared" ref="J397" si="485">I397*1.12</f>
        <v>0</v>
      </c>
      <c r="K397" s="370"/>
      <c r="L397" s="375"/>
      <c r="M397" s="373"/>
      <c r="N397" s="127">
        <f t="shared" si="471"/>
        <v>186076265.19642857</v>
      </c>
      <c r="O397" s="127">
        <f t="shared" si="471"/>
        <v>208405417.02000001</v>
      </c>
      <c r="P397" s="120">
        <f t="shared" si="472"/>
        <v>186076265.19642857</v>
      </c>
      <c r="Q397" s="162">
        <f>Q396</f>
        <v>208405417.02000001</v>
      </c>
      <c r="R397" s="375"/>
      <c r="S397" s="377"/>
      <c r="T397" s="119"/>
      <c r="U397" s="119"/>
      <c r="V397" s="119"/>
      <c r="W397" s="119"/>
      <c r="X397" s="119"/>
      <c r="Y397" s="119"/>
      <c r="Z397" s="119"/>
      <c r="AA397" s="119"/>
      <c r="AB397" s="119"/>
      <c r="AC397" s="119">
        <f>AC398</f>
        <v>0</v>
      </c>
      <c r="AD397" s="206">
        <f t="shared" si="476"/>
        <v>0</v>
      </c>
      <c r="AE397" s="119"/>
      <c r="AF397" s="119">
        <f>AC397+Z397</f>
        <v>0</v>
      </c>
      <c r="AG397" s="119">
        <f t="shared" ref="AG397" si="486">AD397+AA397</f>
        <v>0</v>
      </c>
      <c r="AH397" s="119"/>
      <c r="AI397" s="119"/>
      <c r="AJ397" s="119"/>
      <c r="AK397" s="119"/>
      <c r="AL397" s="119">
        <f>AL398</f>
        <v>113015.80448214285</v>
      </c>
      <c r="AM397" s="118">
        <f t="shared" si="482"/>
        <v>126577.70102000001</v>
      </c>
      <c r="AN397" s="119"/>
      <c r="AO397" s="118">
        <f>AL397-($AI$379/$AK$378*$AN$396)+$AI$379/$AK$378*AQ396</f>
        <v>-328544.42551785719</v>
      </c>
      <c r="AP397" s="118">
        <f>AO397*1.12</f>
        <v>-367969.7565800001</v>
      </c>
      <c r="AQ397" s="118"/>
      <c r="AR397" s="121">
        <f>IF($AI$379=0,"",AL397/($AI$379/$AK$378*AN396))</f>
        <v>0.25594652055087214</v>
      </c>
      <c r="AS397" s="122"/>
      <c r="AT397" s="122">
        <f>AL397</f>
        <v>113015.80448214285</v>
      </c>
      <c r="AU397" s="122"/>
      <c r="AV397" s="118">
        <f>AL397</f>
        <v>113015.80448214285</v>
      </c>
      <c r="AW397" s="118">
        <f t="shared" si="444"/>
        <v>126577.70102000001</v>
      </c>
      <c r="AX397" s="118"/>
      <c r="AY397" s="118"/>
      <c r="AZ397" s="118"/>
      <c r="BA397" s="118"/>
      <c r="BB397" s="118"/>
      <c r="BC397" s="118"/>
      <c r="BD397" s="118"/>
      <c r="BE397" s="118"/>
      <c r="BF397" s="118"/>
      <c r="BG397" s="118"/>
      <c r="BH397" s="118"/>
      <c r="BI397" s="118"/>
      <c r="BJ397" s="118"/>
      <c r="BK397" s="118"/>
      <c r="BL397" s="118"/>
      <c r="BM397" s="100"/>
      <c r="BN397" s="100"/>
      <c r="BO397" s="100"/>
      <c r="BP397" s="100"/>
      <c r="BQ397" s="100"/>
      <c r="BR397" s="100"/>
      <c r="BS397" s="100"/>
      <c r="BT397" s="100"/>
      <c r="BU397" s="97"/>
      <c r="BV397" s="97"/>
      <c r="BW397" s="386"/>
      <c r="BX397" s="386"/>
    </row>
    <row r="398" spans="1:76" ht="17.25" customHeight="1" x14ac:dyDescent="0.25">
      <c r="A398" s="368"/>
      <c r="B398" s="369"/>
      <c r="C398" s="124" t="s">
        <v>71</v>
      </c>
      <c r="D398" s="124" t="s">
        <v>73</v>
      </c>
      <c r="E398" s="167"/>
      <c r="F398" s="167">
        <f t="shared" si="439"/>
        <v>0</v>
      </c>
      <c r="G398" s="394"/>
      <c r="H398" s="395"/>
      <c r="I398" s="166"/>
      <c r="J398" s="166">
        <f>I398*1.12</f>
        <v>0</v>
      </c>
      <c r="K398" s="370"/>
      <c r="L398" s="354"/>
      <c r="M398" s="374"/>
      <c r="N398" s="127">
        <f t="shared" si="471"/>
        <v>186076265.19642857</v>
      </c>
      <c r="O398" s="127">
        <f t="shared" si="471"/>
        <v>208405417.02000001</v>
      </c>
      <c r="P398" s="127">
        <f t="shared" si="472"/>
        <v>186076265.19642857</v>
      </c>
      <c r="Q398" s="232">
        <f>Q397</f>
        <v>208405417.02000001</v>
      </c>
      <c r="R398" s="354"/>
      <c r="S398" s="378"/>
      <c r="T398" s="126"/>
      <c r="U398" s="126"/>
      <c r="V398" s="126"/>
      <c r="W398" s="126"/>
      <c r="X398" s="126"/>
      <c r="Y398" s="126"/>
      <c r="Z398" s="126"/>
      <c r="AA398" s="126"/>
      <c r="AB398" s="126"/>
      <c r="AC398" s="126"/>
      <c r="AD398" s="37">
        <f t="shared" si="476"/>
        <v>0</v>
      </c>
      <c r="AE398" s="126"/>
      <c r="AF398" s="126">
        <f>AC398+Z398</f>
        <v>0</v>
      </c>
      <c r="AG398" s="126">
        <f>AD398+AA398</f>
        <v>0</v>
      </c>
      <c r="AH398" s="126"/>
      <c r="AI398" s="126"/>
      <c r="AJ398" s="126"/>
      <c r="AK398" s="126"/>
      <c r="AL398" s="126">
        <f>58791.03216/1.12+39273.95775/1.12+28512.71111/1.12</f>
        <v>113015.80448214285</v>
      </c>
      <c r="AM398" s="125">
        <f t="shared" si="482"/>
        <v>126577.70102000001</v>
      </c>
      <c r="AN398" s="126"/>
      <c r="AO398" s="125">
        <f>AO397</f>
        <v>-328544.42551785719</v>
      </c>
      <c r="AP398" s="125">
        <f>AP397</f>
        <v>-367969.7565800001</v>
      </c>
      <c r="AQ398" s="125"/>
      <c r="AR398" s="128">
        <f>AR397</f>
        <v>0.25594652055087214</v>
      </c>
      <c r="AS398" s="129"/>
      <c r="AT398" s="129">
        <f>AL398</f>
        <v>113015.80448214285</v>
      </c>
      <c r="AU398" s="129"/>
      <c r="AV398" s="125">
        <f>AV397</f>
        <v>113015.80448214285</v>
      </c>
      <c r="AW398" s="125">
        <f t="shared" si="444"/>
        <v>126577.70102000001</v>
      </c>
      <c r="AX398" s="125"/>
      <c r="AY398" s="125"/>
      <c r="AZ398" s="125"/>
      <c r="BA398" s="125"/>
      <c r="BB398" s="125"/>
      <c r="BC398" s="125"/>
      <c r="BD398" s="125"/>
      <c r="BE398" s="125"/>
      <c r="BF398" s="118"/>
      <c r="BG398" s="125"/>
      <c r="BH398" s="125"/>
      <c r="BI398" s="125"/>
      <c r="BJ398" s="125"/>
      <c r="BK398" s="125"/>
      <c r="BL398" s="125"/>
      <c r="BM398" s="25"/>
      <c r="BN398" s="25"/>
      <c r="BO398" s="25"/>
      <c r="BP398" s="25"/>
      <c r="BQ398" s="25"/>
      <c r="BR398" s="25"/>
      <c r="BS398" s="25"/>
      <c r="BT398" s="25"/>
      <c r="BW398" s="386"/>
      <c r="BX398" s="386"/>
    </row>
    <row r="399" spans="1:76" ht="17.25" customHeight="1" x14ac:dyDescent="0.25">
      <c r="A399" s="368"/>
      <c r="B399" s="369"/>
      <c r="C399" s="193" t="s">
        <v>69</v>
      </c>
      <c r="D399" s="193" t="s">
        <v>70</v>
      </c>
      <c r="E399" s="194"/>
      <c r="F399" s="194">
        <f t="shared" si="439"/>
        <v>0</v>
      </c>
      <c r="G399" s="394"/>
      <c r="H399" s="395"/>
      <c r="I399" s="195"/>
      <c r="J399" s="195">
        <f>I399*1.12</f>
        <v>0</v>
      </c>
      <c r="K399" s="370" t="s">
        <v>140</v>
      </c>
      <c r="L399" s="359" t="s">
        <v>199</v>
      </c>
      <c r="M399" s="372" t="s">
        <v>96</v>
      </c>
      <c r="N399" s="196">
        <f t="shared" si="471"/>
        <v>42994019.035714284</v>
      </c>
      <c r="O399" s="196">
        <f t="shared" si="471"/>
        <v>48153301.32</v>
      </c>
      <c r="P399" s="196">
        <f t="shared" si="472"/>
        <v>42994019.035714284</v>
      </c>
      <c r="Q399" s="247">
        <v>48153301.32</v>
      </c>
      <c r="R399" s="353" t="s">
        <v>134</v>
      </c>
      <c r="S399" s="376">
        <v>16</v>
      </c>
      <c r="T399" s="198"/>
      <c r="U399" s="198"/>
      <c r="V399" s="198"/>
      <c r="W399" s="198"/>
      <c r="X399" s="198"/>
      <c r="Y399" s="198"/>
      <c r="Z399" s="198"/>
      <c r="AA399" s="198"/>
      <c r="AB399" s="198"/>
      <c r="AC399" s="198"/>
      <c r="AD399" s="197">
        <f t="shared" si="476"/>
        <v>0</v>
      </c>
      <c r="AE399" s="198"/>
      <c r="AF399" s="198">
        <f>Z399+AC399</f>
        <v>0</v>
      </c>
      <c r="AG399" s="198">
        <f t="shared" ref="AG399:AH399" si="487">AA399+AD399</f>
        <v>0</v>
      </c>
      <c r="AH399" s="198">
        <f t="shared" si="487"/>
        <v>0</v>
      </c>
      <c r="AI399" s="198"/>
      <c r="AJ399" s="198"/>
      <c r="AK399" s="198"/>
      <c r="AL399" s="198">
        <f>9964+2338+15026+6258+1+22386-2644-193-1+1</f>
        <v>53136</v>
      </c>
      <c r="AM399" s="199">
        <f t="shared" si="482"/>
        <v>59512.320000000007</v>
      </c>
      <c r="AN399" s="198">
        <f>3+3+3+6+1</f>
        <v>16</v>
      </c>
      <c r="AO399" s="199">
        <f>AL399-($AI$378/$AK$378*$AN$399)+($AI$378/$AK$378*AQ399)</f>
        <v>-61829.348571428578</v>
      </c>
      <c r="AP399" s="199">
        <f>AO399*1.12</f>
        <v>-69248.870400000014</v>
      </c>
      <c r="AQ399" s="237">
        <f>AN399-(3+3+3+3+2+2)</f>
        <v>0</v>
      </c>
      <c r="AR399" s="200">
        <f>IF($AI$378=0,"",AL399/($AI$378/$AK$378*AN399))</f>
        <v>0.46219143994493544</v>
      </c>
      <c r="AS399" s="201"/>
      <c r="AT399" s="201"/>
      <c r="AU399" s="201"/>
      <c r="AV399" s="199"/>
      <c r="AW399" s="199">
        <f t="shared" si="444"/>
        <v>0</v>
      </c>
      <c r="AX399" s="199">
        <f>S399</f>
        <v>16</v>
      </c>
      <c r="AY399" s="199"/>
      <c r="AZ399" s="199">
        <f>AL399-($AI$378/$AK$378*AN399)</f>
        <v>-61829.348571428578</v>
      </c>
      <c r="BA399" s="199"/>
      <c r="BB399" s="199"/>
      <c r="BC399" s="199"/>
      <c r="BD399" s="199"/>
      <c r="BE399" s="199"/>
      <c r="BF399" s="199">
        <f>$AI$378/$AK$378*AQ399</f>
        <v>0</v>
      </c>
      <c r="BG399" s="199"/>
      <c r="BH399" s="199"/>
      <c r="BI399" s="199"/>
      <c r="BJ399" s="199"/>
      <c r="BK399" s="199"/>
      <c r="BL399" s="199"/>
      <c r="BM399" s="202"/>
      <c r="BN399" s="202"/>
      <c r="BO399" s="202"/>
      <c r="BP399" s="202"/>
      <c r="BQ399" s="202"/>
      <c r="BR399" s="202"/>
      <c r="BS399" s="202"/>
      <c r="BT399" s="202"/>
      <c r="BU399" s="204"/>
      <c r="BV399" s="204"/>
      <c r="BW399" s="386"/>
      <c r="BX399" s="386"/>
    </row>
    <row r="400" spans="1:76" ht="17.25" customHeight="1" x14ac:dyDescent="0.25">
      <c r="A400" s="368"/>
      <c r="B400" s="369"/>
      <c r="C400" s="117" t="s">
        <v>71</v>
      </c>
      <c r="D400" s="117" t="s">
        <v>72</v>
      </c>
      <c r="E400" s="163"/>
      <c r="F400" s="163">
        <f t="shared" si="439"/>
        <v>0</v>
      </c>
      <c r="G400" s="394"/>
      <c r="H400" s="395"/>
      <c r="I400" s="161"/>
      <c r="J400" s="161">
        <f t="shared" ref="J400" si="488">I400*1.12</f>
        <v>0</v>
      </c>
      <c r="K400" s="370"/>
      <c r="L400" s="371"/>
      <c r="M400" s="373"/>
      <c r="N400" s="127">
        <f t="shared" si="471"/>
        <v>42994019.035714284</v>
      </c>
      <c r="O400" s="127">
        <f t="shared" si="471"/>
        <v>48153301.32</v>
      </c>
      <c r="P400" s="120">
        <f t="shared" si="472"/>
        <v>42994019.035714284</v>
      </c>
      <c r="Q400" s="162">
        <f>Q399</f>
        <v>48153301.32</v>
      </c>
      <c r="R400" s="375"/>
      <c r="S400" s="377"/>
      <c r="T400" s="119"/>
      <c r="U400" s="119"/>
      <c r="V400" s="119"/>
      <c r="W400" s="119"/>
      <c r="X400" s="119"/>
      <c r="Y400" s="119"/>
      <c r="Z400" s="119"/>
      <c r="AA400" s="119"/>
      <c r="AB400" s="119"/>
      <c r="AC400" s="119">
        <f>AC401</f>
        <v>0</v>
      </c>
      <c r="AD400" s="206">
        <f t="shared" si="476"/>
        <v>0</v>
      </c>
      <c r="AE400" s="119"/>
      <c r="AF400" s="119">
        <f>AC400+Z400</f>
        <v>0</v>
      </c>
      <c r="AG400" s="119">
        <f t="shared" ref="AG400" si="489">AD400+AA400</f>
        <v>0</v>
      </c>
      <c r="AH400" s="119"/>
      <c r="AI400" s="119"/>
      <c r="AJ400" s="119"/>
      <c r="AK400" s="119"/>
      <c r="AL400" s="119">
        <f>AL401</f>
        <v>19552.288616071426</v>
      </c>
      <c r="AM400" s="118">
        <f t="shared" si="482"/>
        <v>21898.563249999999</v>
      </c>
      <c r="AN400" s="119"/>
      <c r="AO400" s="118">
        <f>AL400-($AI$379/$AK$378*$AN$399)+$AI$379/$AK$378*AQ399</f>
        <v>-81375.76395535715</v>
      </c>
      <c r="AP400" s="118">
        <f>AO400*1.12</f>
        <v>-91140.85563000002</v>
      </c>
      <c r="AQ400" s="118"/>
      <c r="AR400" s="121">
        <f>IF($AI$379=0,"",AL400/($AI$379/$AK$378*AN399))</f>
        <v>0.19372501616667898</v>
      </c>
      <c r="AS400" s="122"/>
      <c r="AT400" s="122">
        <f>AL400</f>
        <v>19552.288616071426</v>
      </c>
      <c r="AU400" s="122"/>
      <c r="AV400" s="118">
        <f>AL400</f>
        <v>19552.288616071426</v>
      </c>
      <c r="AW400" s="118">
        <f t="shared" si="444"/>
        <v>21898.563249999999</v>
      </c>
      <c r="AX400" s="118"/>
      <c r="AY400" s="118"/>
      <c r="AZ400" s="118"/>
      <c r="BA400" s="118"/>
      <c r="BB400" s="118"/>
      <c r="BC400" s="118"/>
      <c r="BD400" s="118"/>
      <c r="BE400" s="118"/>
      <c r="BF400" s="118"/>
      <c r="BG400" s="118"/>
      <c r="BH400" s="118"/>
      <c r="BI400" s="118"/>
      <c r="BJ400" s="118"/>
      <c r="BK400" s="118"/>
      <c r="BL400" s="118"/>
      <c r="BM400" s="100"/>
      <c r="BN400" s="100"/>
      <c r="BO400" s="100"/>
      <c r="BP400" s="100"/>
      <c r="BQ400" s="100"/>
      <c r="BR400" s="100"/>
      <c r="BS400" s="100"/>
      <c r="BT400" s="100"/>
      <c r="BU400" s="97"/>
      <c r="BV400" s="97"/>
      <c r="BW400" s="386"/>
      <c r="BX400" s="386"/>
    </row>
    <row r="401" spans="1:76" ht="17.25" customHeight="1" x14ac:dyDescent="0.25">
      <c r="A401" s="368"/>
      <c r="B401" s="369"/>
      <c r="C401" s="124" t="s">
        <v>71</v>
      </c>
      <c r="D401" s="124" t="s">
        <v>73</v>
      </c>
      <c r="E401" s="167"/>
      <c r="F401" s="167">
        <f t="shared" si="439"/>
        <v>0</v>
      </c>
      <c r="G401" s="394"/>
      <c r="H401" s="395"/>
      <c r="I401" s="166"/>
      <c r="J401" s="166">
        <f>I401*1.12</f>
        <v>0</v>
      </c>
      <c r="K401" s="370"/>
      <c r="L401" s="360"/>
      <c r="M401" s="374"/>
      <c r="N401" s="127">
        <f t="shared" si="471"/>
        <v>42994019.035714284</v>
      </c>
      <c r="O401" s="127">
        <f t="shared" si="471"/>
        <v>48153301.32</v>
      </c>
      <c r="P401" s="127">
        <f t="shared" si="472"/>
        <v>42994019.035714284</v>
      </c>
      <c r="Q401" s="232">
        <f>Q400</f>
        <v>48153301.32</v>
      </c>
      <c r="R401" s="354"/>
      <c r="S401" s="378"/>
      <c r="T401" s="126"/>
      <c r="U401" s="126"/>
      <c r="V401" s="126"/>
      <c r="W401" s="126"/>
      <c r="X401" s="126"/>
      <c r="Y401" s="126"/>
      <c r="Z401" s="126"/>
      <c r="AA401" s="126"/>
      <c r="AB401" s="126"/>
      <c r="AC401" s="126"/>
      <c r="AD401" s="37">
        <f t="shared" si="476"/>
        <v>0</v>
      </c>
      <c r="AE401" s="126"/>
      <c r="AF401" s="126">
        <f>AC401+Z401</f>
        <v>0</v>
      </c>
      <c r="AG401" s="126">
        <f>AD401+AA401</f>
        <v>0</v>
      </c>
      <c r="AH401" s="126"/>
      <c r="AI401" s="126"/>
      <c r="AJ401" s="126"/>
      <c r="AK401" s="126"/>
      <c r="AL401" s="126">
        <f>6240.29317/1.12+4253.25492/1.12+3479.26747/1.12+7925.74769/1.12</f>
        <v>19552.288616071426</v>
      </c>
      <c r="AM401" s="125">
        <f t="shared" si="482"/>
        <v>21898.563249999999</v>
      </c>
      <c r="AN401" s="126"/>
      <c r="AO401" s="125">
        <f>AO400</f>
        <v>-81375.76395535715</v>
      </c>
      <c r="AP401" s="125">
        <f>AP400</f>
        <v>-91140.85563000002</v>
      </c>
      <c r="AQ401" s="125"/>
      <c r="AR401" s="128">
        <f>AR400</f>
        <v>0.19372501616667898</v>
      </c>
      <c r="AS401" s="129"/>
      <c r="AT401" s="129">
        <f>AL401</f>
        <v>19552.288616071426</v>
      </c>
      <c r="AU401" s="129"/>
      <c r="AV401" s="125">
        <f>AV400</f>
        <v>19552.288616071426</v>
      </c>
      <c r="AW401" s="125">
        <f t="shared" si="444"/>
        <v>21898.563249999999</v>
      </c>
      <c r="AX401" s="125"/>
      <c r="AY401" s="125"/>
      <c r="AZ401" s="125"/>
      <c r="BA401" s="125"/>
      <c r="BB401" s="125"/>
      <c r="BC401" s="125"/>
      <c r="BD401" s="125"/>
      <c r="BE401" s="125"/>
      <c r="BF401" s="118"/>
      <c r="BG401" s="125"/>
      <c r="BH401" s="125"/>
      <c r="BI401" s="125"/>
      <c r="BJ401" s="125"/>
      <c r="BK401" s="125"/>
      <c r="BL401" s="125"/>
      <c r="BM401" s="25"/>
      <c r="BN401" s="25"/>
      <c r="BO401" s="25"/>
      <c r="BP401" s="25"/>
      <c r="BQ401" s="25"/>
      <c r="BR401" s="25"/>
      <c r="BS401" s="25"/>
      <c r="BT401" s="25"/>
      <c r="BW401" s="386"/>
      <c r="BX401" s="386"/>
    </row>
    <row r="402" spans="1:76" ht="17.25" customHeight="1" x14ac:dyDescent="0.25">
      <c r="A402" s="368"/>
      <c r="B402" s="369"/>
      <c r="C402" s="193" t="s">
        <v>69</v>
      </c>
      <c r="D402" s="193" t="s">
        <v>70</v>
      </c>
      <c r="E402" s="194"/>
      <c r="F402" s="194">
        <f t="shared" si="439"/>
        <v>0</v>
      </c>
      <c r="G402" s="394"/>
      <c r="H402" s="395"/>
      <c r="I402" s="195"/>
      <c r="J402" s="195">
        <f>I402*1.12</f>
        <v>0</v>
      </c>
      <c r="K402" s="370" t="s">
        <v>190</v>
      </c>
      <c r="L402" s="359" t="s">
        <v>200</v>
      </c>
      <c r="M402" s="372" t="s">
        <v>96</v>
      </c>
      <c r="N402" s="196">
        <f t="shared" si="471"/>
        <v>111645759.11607142</v>
      </c>
      <c r="O402" s="196">
        <f t="shared" si="471"/>
        <v>125043250.20999999</v>
      </c>
      <c r="P402" s="196">
        <f t="shared" si="472"/>
        <v>111645759.11607142</v>
      </c>
      <c r="Q402" s="247">
        <v>125043250.20999999</v>
      </c>
      <c r="R402" s="353" t="s">
        <v>134</v>
      </c>
      <c r="S402" s="376">
        <v>42</v>
      </c>
      <c r="T402" s="198"/>
      <c r="U402" s="198"/>
      <c r="V402" s="198"/>
      <c r="W402" s="198"/>
      <c r="X402" s="198"/>
      <c r="Y402" s="198"/>
      <c r="Z402" s="198"/>
      <c r="AA402" s="198"/>
      <c r="AB402" s="198"/>
      <c r="AC402" s="198"/>
      <c r="AD402" s="197">
        <f t="shared" si="476"/>
        <v>0</v>
      </c>
      <c r="AE402" s="198"/>
      <c r="AF402" s="198">
        <f>Z402+AC402</f>
        <v>0</v>
      </c>
      <c r="AG402" s="198">
        <f t="shared" ref="AG402:AH402" si="490">AA402+AD402</f>
        <v>0</v>
      </c>
      <c r="AH402" s="198">
        <f t="shared" si="490"/>
        <v>0</v>
      </c>
      <c r="AI402" s="198"/>
      <c r="AJ402" s="198"/>
      <c r="AK402" s="198"/>
      <c r="AL402" s="198">
        <v>116434</v>
      </c>
      <c r="AM402" s="199">
        <f t="shared" si="482"/>
        <v>130406.08000000002</v>
      </c>
      <c r="AN402" s="198">
        <f>7+7+7+9+5+7</f>
        <v>42</v>
      </c>
      <c r="AO402" s="199">
        <f>AL402-($AI$378/$AK$378*$AN$402)+($AI$378/$AK$378*AQ402)</f>
        <v>-185350.04000000004</v>
      </c>
      <c r="AP402" s="199">
        <f>AO402*1.12</f>
        <v>-207592.04480000006</v>
      </c>
      <c r="AQ402" s="237">
        <f>AN402-(7+7+7+7+7+7)</f>
        <v>0</v>
      </c>
      <c r="AR402" s="200">
        <f>IF($AI$378=0,"",AL402/($AI$378/$AK$378*AN402))</f>
        <v>0.38581894522984045</v>
      </c>
      <c r="AS402" s="201"/>
      <c r="AT402" s="201"/>
      <c r="AU402" s="201"/>
      <c r="AV402" s="199"/>
      <c r="AW402" s="199">
        <f t="shared" si="444"/>
        <v>0</v>
      </c>
      <c r="AX402" s="199">
        <f>S402</f>
        <v>42</v>
      </c>
      <c r="AY402" s="199"/>
      <c r="AZ402" s="199">
        <f>AL402-($AI$378/$AK$378*AN402)</f>
        <v>-185350.04000000004</v>
      </c>
      <c r="BA402" s="199"/>
      <c r="BB402" s="199"/>
      <c r="BC402" s="199"/>
      <c r="BD402" s="199"/>
      <c r="BE402" s="199"/>
      <c r="BF402" s="199">
        <f>$AI$378/$AK$378*AQ402</f>
        <v>0</v>
      </c>
      <c r="BG402" s="199"/>
      <c r="BH402" s="199"/>
      <c r="BI402" s="199"/>
      <c r="BJ402" s="199"/>
      <c r="BK402" s="199"/>
      <c r="BL402" s="199"/>
      <c r="BM402" s="202"/>
      <c r="BN402" s="202"/>
      <c r="BO402" s="202"/>
      <c r="BP402" s="202"/>
      <c r="BQ402" s="202"/>
      <c r="BR402" s="202"/>
      <c r="BS402" s="202"/>
      <c r="BT402" s="202"/>
      <c r="BU402" s="204"/>
      <c r="BV402" s="204"/>
      <c r="BW402" s="386"/>
      <c r="BX402" s="386"/>
    </row>
    <row r="403" spans="1:76" ht="17.25" customHeight="1" x14ac:dyDescent="0.25">
      <c r="A403" s="368"/>
      <c r="B403" s="369"/>
      <c r="C403" s="117" t="s">
        <v>71</v>
      </c>
      <c r="D403" s="117" t="s">
        <v>72</v>
      </c>
      <c r="E403" s="163"/>
      <c r="F403" s="163">
        <f t="shared" si="439"/>
        <v>0</v>
      </c>
      <c r="G403" s="394"/>
      <c r="H403" s="395"/>
      <c r="I403" s="161"/>
      <c r="J403" s="161">
        <f t="shared" ref="J403" si="491">I403*1.12</f>
        <v>0</v>
      </c>
      <c r="K403" s="370"/>
      <c r="L403" s="371"/>
      <c r="M403" s="373"/>
      <c r="N403" s="127">
        <f t="shared" si="471"/>
        <v>111645759.11607142</v>
      </c>
      <c r="O403" s="127">
        <f t="shared" si="471"/>
        <v>125043250.20999999</v>
      </c>
      <c r="P403" s="120">
        <f t="shared" si="472"/>
        <v>111645759.11607142</v>
      </c>
      <c r="Q403" s="162">
        <f>Q402</f>
        <v>125043250.20999999</v>
      </c>
      <c r="R403" s="375"/>
      <c r="S403" s="377"/>
      <c r="T403" s="119"/>
      <c r="U403" s="119"/>
      <c r="V403" s="119"/>
      <c r="W403" s="119"/>
      <c r="X403" s="119"/>
      <c r="Y403" s="119"/>
      <c r="Z403" s="119"/>
      <c r="AA403" s="119"/>
      <c r="AB403" s="119"/>
      <c r="AC403" s="119"/>
      <c r="AD403" s="206">
        <f t="shared" si="476"/>
        <v>0</v>
      </c>
      <c r="AE403" s="119"/>
      <c r="AF403" s="119">
        <f>AC403+Z403</f>
        <v>0</v>
      </c>
      <c r="AG403" s="119">
        <f t="shared" ref="AG403" si="492">AD403+AA403</f>
        <v>0</v>
      </c>
      <c r="AH403" s="119"/>
      <c r="AI403" s="119"/>
      <c r="AJ403" s="119"/>
      <c r="AK403" s="119"/>
      <c r="AL403" s="119">
        <f>AL404</f>
        <v>57406.530651785703</v>
      </c>
      <c r="AM403" s="118">
        <f t="shared" si="482"/>
        <v>64295.314329999994</v>
      </c>
      <c r="AN403" s="119"/>
      <c r="AO403" s="118">
        <f>AL403-($AI$379/$AK$378*$AN$402)+$AI$379/$AK$378*AQ402</f>
        <v>-207529.60734821434</v>
      </c>
      <c r="AP403" s="118">
        <f>AO403*1.12</f>
        <v>-232433.1602300001</v>
      </c>
      <c r="AQ403" s="118"/>
      <c r="AR403" s="121">
        <f>IF($AI$379=0,"",AL403/($AI$379/$AK$378*AN402))</f>
        <v>0.21668063513398725</v>
      </c>
      <c r="AS403" s="122"/>
      <c r="AT403" s="122">
        <f>AL403</f>
        <v>57406.530651785703</v>
      </c>
      <c r="AU403" s="122"/>
      <c r="AV403" s="118">
        <f>AL403</f>
        <v>57406.530651785703</v>
      </c>
      <c r="AW403" s="118">
        <f t="shared" si="444"/>
        <v>64295.314329999994</v>
      </c>
      <c r="AX403" s="118"/>
      <c r="AY403" s="118"/>
      <c r="AZ403" s="118"/>
      <c r="BA403" s="118"/>
      <c r="BB403" s="118"/>
      <c r="BC403" s="118"/>
      <c r="BD403" s="118"/>
      <c r="BE403" s="118"/>
      <c r="BF403" s="118"/>
      <c r="BG403" s="118"/>
      <c r="BH403" s="118"/>
      <c r="BI403" s="118"/>
      <c r="BJ403" s="118"/>
      <c r="BK403" s="118"/>
      <c r="BL403" s="118"/>
      <c r="BM403" s="100"/>
      <c r="BN403" s="100"/>
      <c r="BO403" s="100"/>
      <c r="BP403" s="100"/>
      <c r="BQ403" s="100"/>
      <c r="BR403" s="100"/>
      <c r="BS403" s="100"/>
      <c r="BT403" s="100"/>
      <c r="BU403" s="97"/>
      <c r="BV403" s="97"/>
      <c r="BW403" s="386"/>
      <c r="BX403" s="386"/>
    </row>
    <row r="404" spans="1:76" ht="17.25" customHeight="1" x14ac:dyDescent="0.25">
      <c r="A404" s="368"/>
      <c r="B404" s="369"/>
      <c r="C404" s="124" t="s">
        <v>71</v>
      </c>
      <c r="D404" s="124" t="s">
        <v>73</v>
      </c>
      <c r="E404" s="167"/>
      <c r="F404" s="167">
        <f t="shared" si="439"/>
        <v>0</v>
      </c>
      <c r="G404" s="394"/>
      <c r="H404" s="395"/>
      <c r="I404" s="166"/>
      <c r="J404" s="166">
        <f>I404*1.12</f>
        <v>0</v>
      </c>
      <c r="K404" s="370"/>
      <c r="L404" s="360"/>
      <c r="M404" s="374"/>
      <c r="N404" s="127">
        <f t="shared" si="471"/>
        <v>111645759.11607142</v>
      </c>
      <c r="O404" s="127">
        <f t="shared" si="471"/>
        <v>125043250.20999999</v>
      </c>
      <c r="P404" s="127">
        <f t="shared" si="472"/>
        <v>111645759.11607142</v>
      </c>
      <c r="Q404" s="232">
        <f>Q403</f>
        <v>125043250.20999999</v>
      </c>
      <c r="R404" s="354"/>
      <c r="S404" s="378"/>
      <c r="T404" s="126"/>
      <c r="U404" s="126"/>
      <c r="V404" s="126"/>
      <c r="W404" s="126"/>
      <c r="X404" s="126"/>
      <c r="Y404" s="126"/>
      <c r="Z404" s="126"/>
      <c r="AA404" s="126"/>
      <c r="AB404" s="126"/>
      <c r="AC404" s="126"/>
      <c r="AD404" s="37">
        <f t="shared" si="476"/>
        <v>0</v>
      </c>
      <c r="AE404" s="126"/>
      <c r="AF404" s="126">
        <f>AC404+Z404</f>
        <v>0</v>
      </c>
      <c r="AG404" s="126">
        <f>AD404+AA404</f>
        <v>0</v>
      </c>
      <c r="AH404" s="126"/>
      <c r="AI404" s="126"/>
      <c r="AJ404" s="126"/>
      <c r="AK404" s="126"/>
      <c r="AL404" s="126">
        <f>14205.51779/1.12+10534.38072/1.12+18271.34689/1.12+21284.06893/1.12</f>
        <v>57406.530651785703</v>
      </c>
      <c r="AM404" s="125">
        <f t="shared" si="482"/>
        <v>64295.314329999994</v>
      </c>
      <c r="AN404" s="126"/>
      <c r="AO404" s="125">
        <f>AO403</f>
        <v>-207529.60734821434</v>
      </c>
      <c r="AP404" s="125">
        <f>AP403</f>
        <v>-232433.1602300001</v>
      </c>
      <c r="AQ404" s="125"/>
      <c r="AR404" s="128">
        <f>AR403</f>
        <v>0.21668063513398725</v>
      </c>
      <c r="AS404" s="129"/>
      <c r="AT404" s="129">
        <f>AL404</f>
        <v>57406.530651785703</v>
      </c>
      <c r="AU404" s="129"/>
      <c r="AV404" s="125">
        <f>AV403</f>
        <v>57406.530651785703</v>
      </c>
      <c r="AW404" s="125">
        <f t="shared" si="444"/>
        <v>64295.314329999994</v>
      </c>
      <c r="AX404" s="125"/>
      <c r="AY404" s="125"/>
      <c r="AZ404" s="125"/>
      <c r="BA404" s="125"/>
      <c r="BB404" s="125"/>
      <c r="BC404" s="125"/>
      <c r="BD404" s="125"/>
      <c r="BE404" s="125"/>
      <c r="BF404" s="118"/>
      <c r="BG404" s="125"/>
      <c r="BH404" s="125"/>
      <c r="BI404" s="125"/>
      <c r="BJ404" s="125"/>
      <c r="BK404" s="125"/>
      <c r="BL404" s="125"/>
      <c r="BM404" s="25"/>
      <c r="BN404" s="25"/>
      <c r="BO404" s="25"/>
      <c r="BP404" s="25"/>
      <c r="BQ404" s="25"/>
      <c r="BR404" s="25"/>
      <c r="BS404" s="25"/>
      <c r="BT404" s="25"/>
      <c r="BW404" s="386"/>
      <c r="BX404" s="386"/>
    </row>
    <row r="405" spans="1:76" ht="17.25" customHeight="1" x14ac:dyDescent="0.25">
      <c r="A405" s="368"/>
      <c r="B405" s="369"/>
      <c r="C405" s="193" t="s">
        <v>69</v>
      </c>
      <c r="D405" s="193" t="s">
        <v>70</v>
      </c>
      <c r="E405" s="194"/>
      <c r="F405" s="194">
        <f t="shared" si="439"/>
        <v>0</v>
      </c>
      <c r="G405" s="394"/>
      <c r="H405" s="395"/>
      <c r="I405" s="195"/>
      <c r="J405" s="195">
        <f>I405*1.12</f>
        <v>0</v>
      </c>
      <c r="K405" s="370" t="s">
        <v>138</v>
      </c>
      <c r="L405" s="359" t="s">
        <v>201</v>
      </c>
      <c r="M405" s="372" t="s">
        <v>96</v>
      </c>
      <c r="N405" s="196">
        <f t="shared" si="471"/>
        <v>74430506.080357134</v>
      </c>
      <c r="O405" s="196">
        <f>Q405</f>
        <v>83362166.810000002</v>
      </c>
      <c r="P405" s="196">
        <f t="shared" si="472"/>
        <v>74430506.080357134</v>
      </c>
      <c r="Q405" s="247">
        <v>83362166.810000002</v>
      </c>
      <c r="R405" s="353" t="s">
        <v>134</v>
      </c>
      <c r="S405" s="376">
        <v>28</v>
      </c>
      <c r="T405" s="198"/>
      <c r="U405" s="198"/>
      <c r="V405" s="198"/>
      <c r="W405" s="198"/>
      <c r="X405" s="198"/>
      <c r="Y405" s="198"/>
      <c r="Z405" s="198"/>
      <c r="AA405" s="198"/>
      <c r="AB405" s="198"/>
      <c r="AC405" s="198"/>
      <c r="AD405" s="197">
        <f t="shared" si="476"/>
        <v>0</v>
      </c>
      <c r="AE405" s="198"/>
      <c r="AF405" s="198">
        <f>Z405+AC405</f>
        <v>0</v>
      </c>
      <c r="AG405" s="198">
        <f t="shared" ref="AG405:AH405" si="493">AA405+AD405</f>
        <v>0</v>
      </c>
      <c r="AH405" s="198">
        <f t="shared" si="493"/>
        <v>0</v>
      </c>
      <c r="AI405" s="198"/>
      <c r="AJ405" s="198"/>
      <c r="AK405" s="198"/>
      <c r="AL405" s="198">
        <v>105408</v>
      </c>
      <c r="AM405" s="199">
        <f t="shared" si="482"/>
        <v>118056.96000000001</v>
      </c>
      <c r="AN405" s="198">
        <f>5+6+6+4+2+2+3</f>
        <v>28</v>
      </c>
      <c r="AO405" s="199">
        <f>AL405-($AI$378/$AK$378*$AN$405)+($AI$378/$AK$378*AQ405)</f>
        <v>-95781.360000000015</v>
      </c>
      <c r="AP405" s="199">
        <f>AO405*1.12</f>
        <v>-107275.12320000003</v>
      </c>
      <c r="AQ405" s="237">
        <f>AN405-(5+5+5+5+4+4)</f>
        <v>0</v>
      </c>
      <c r="AR405" s="200">
        <f>IF($AI$378=0,"",AL405/($AI$378/$AK$378*AN405))</f>
        <v>0.52392432681330658</v>
      </c>
      <c r="AS405" s="201"/>
      <c r="AT405" s="201"/>
      <c r="AU405" s="201"/>
      <c r="AV405" s="199"/>
      <c r="AW405" s="199">
        <f t="shared" si="444"/>
        <v>0</v>
      </c>
      <c r="AX405" s="199">
        <f>S405</f>
        <v>28</v>
      </c>
      <c r="AY405" s="199"/>
      <c r="AZ405" s="199">
        <f>AL405-($AI$378/$AK$378*AN405)</f>
        <v>-95781.360000000015</v>
      </c>
      <c r="BA405" s="199"/>
      <c r="BB405" s="199"/>
      <c r="BC405" s="199"/>
      <c r="BD405" s="199"/>
      <c r="BE405" s="199"/>
      <c r="BF405" s="199">
        <f>$AI$378/$AK$378*AQ405</f>
        <v>0</v>
      </c>
      <c r="BG405" s="199"/>
      <c r="BH405" s="199"/>
      <c r="BI405" s="199"/>
      <c r="BJ405" s="199"/>
      <c r="BK405" s="199"/>
      <c r="BL405" s="199"/>
      <c r="BM405" s="202"/>
      <c r="BN405" s="202"/>
      <c r="BO405" s="202"/>
      <c r="BP405" s="202"/>
      <c r="BQ405" s="202"/>
      <c r="BR405" s="202"/>
      <c r="BS405" s="202"/>
      <c r="BT405" s="202"/>
      <c r="BU405" s="204"/>
      <c r="BV405" s="204"/>
      <c r="BW405" s="386"/>
      <c r="BX405" s="386"/>
    </row>
    <row r="406" spans="1:76" ht="17.25" customHeight="1" x14ac:dyDescent="0.25">
      <c r="A406" s="368"/>
      <c r="B406" s="369"/>
      <c r="C406" s="117" t="s">
        <v>71</v>
      </c>
      <c r="D406" s="117" t="s">
        <v>72</v>
      </c>
      <c r="E406" s="163"/>
      <c r="F406" s="163">
        <f t="shared" si="439"/>
        <v>0</v>
      </c>
      <c r="G406" s="394"/>
      <c r="H406" s="395"/>
      <c r="I406" s="161"/>
      <c r="J406" s="161">
        <f t="shared" ref="J406" si="494">I406*1.12</f>
        <v>0</v>
      </c>
      <c r="K406" s="370"/>
      <c r="L406" s="371"/>
      <c r="M406" s="373"/>
      <c r="N406" s="127">
        <f t="shared" si="471"/>
        <v>74430506.080357134</v>
      </c>
      <c r="O406" s="127">
        <f t="shared" si="471"/>
        <v>83362166.810000002</v>
      </c>
      <c r="P406" s="120">
        <f t="shared" si="472"/>
        <v>74430506.080357134</v>
      </c>
      <c r="Q406" s="162">
        <f>Q405</f>
        <v>83362166.810000002</v>
      </c>
      <c r="R406" s="375"/>
      <c r="S406" s="377"/>
      <c r="T406" s="119"/>
      <c r="U406" s="119"/>
      <c r="V406" s="119"/>
      <c r="W406" s="119"/>
      <c r="X406" s="119"/>
      <c r="Y406" s="119"/>
      <c r="Z406" s="119"/>
      <c r="AA406" s="119"/>
      <c r="AB406" s="119"/>
      <c r="AC406" s="119"/>
      <c r="AD406" s="206">
        <f t="shared" si="476"/>
        <v>0</v>
      </c>
      <c r="AE406" s="119"/>
      <c r="AF406" s="119">
        <f>AC406+Z406</f>
        <v>0</v>
      </c>
      <c r="AG406" s="119">
        <f t="shared" ref="AG406" si="495">AD406+AA406</f>
        <v>0</v>
      </c>
      <c r="AH406" s="119"/>
      <c r="AI406" s="119"/>
      <c r="AJ406" s="119"/>
      <c r="AK406" s="119"/>
      <c r="AL406" s="119">
        <f>AL407</f>
        <v>46219.427508928566</v>
      </c>
      <c r="AM406" s="118">
        <f t="shared" si="482"/>
        <v>51765.758809999999</v>
      </c>
      <c r="AN406" s="119"/>
      <c r="AO406" s="118">
        <f>AL406-($AI$379/$AK$378*$AN$405)+$AI$379/$AK$378*AQ405</f>
        <v>-130404.66449107144</v>
      </c>
      <c r="AP406" s="118">
        <f>AO406*1.12</f>
        <v>-146053.22423000002</v>
      </c>
      <c r="AQ406" s="118"/>
      <c r="AR406" s="121">
        <f>IF($AI$379=0,"",AL406/($AI$379/$AK$378*AN405))</f>
        <v>0.26168246350519703</v>
      </c>
      <c r="AS406" s="122"/>
      <c r="AT406" s="122">
        <f>AL406</f>
        <v>46219.427508928566</v>
      </c>
      <c r="AU406" s="122"/>
      <c r="AV406" s="118">
        <f>AL406</f>
        <v>46219.427508928566</v>
      </c>
      <c r="AW406" s="118">
        <f t="shared" si="444"/>
        <v>51765.758809999999</v>
      </c>
      <c r="AX406" s="118"/>
      <c r="AY406" s="118"/>
      <c r="AZ406" s="118"/>
      <c r="BA406" s="118"/>
      <c r="BB406" s="118"/>
      <c r="BC406" s="118"/>
      <c r="BD406" s="118"/>
      <c r="BE406" s="118"/>
      <c r="BF406" s="118"/>
      <c r="BG406" s="118"/>
      <c r="BH406" s="118"/>
      <c r="BI406" s="118"/>
      <c r="BJ406" s="118"/>
      <c r="BK406" s="118"/>
      <c r="BL406" s="118"/>
      <c r="BM406" s="100"/>
      <c r="BN406" s="100"/>
      <c r="BO406" s="100"/>
      <c r="BP406" s="100"/>
      <c r="BQ406" s="100"/>
      <c r="BR406" s="100"/>
      <c r="BS406" s="100"/>
      <c r="BT406" s="100"/>
      <c r="BU406" s="97"/>
      <c r="BV406" s="97"/>
      <c r="BW406" s="386"/>
      <c r="BX406" s="386"/>
    </row>
    <row r="407" spans="1:76" ht="17.25" customHeight="1" x14ac:dyDescent="0.25">
      <c r="A407" s="368"/>
      <c r="B407" s="369"/>
      <c r="C407" s="124" t="s">
        <v>71</v>
      </c>
      <c r="D407" s="124" t="s">
        <v>73</v>
      </c>
      <c r="E407" s="167"/>
      <c r="F407" s="167">
        <f t="shared" si="439"/>
        <v>0</v>
      </c>
      <c r="G407" s="394"/>
      <c r="H407" s="395"/>
      <c r="I407" s="166"/>
      <c r="J407" s="166">
        <f>I407*1.12</f>
        <v>0</v>
      </c>
      <c r="K407" s="370"/>
      <c r="L407" s="360"/>
      <c r="M407" s="374"/>
      <c r="N407" s="127">
        <f t="shared" si="471"/>
        <v>74430506.080357134</v>
      </c>
      <c r="O407" s="127">
        <f t="shared" si="471"/>
        <v>83362166.810000002</v>
      </c>
      <c r="P407" s="127">
        <f t="shared" si="472"/>
        <v>74430506.080357134</v>
      </c>
      <c r="Q407" s="232">
        <f>Q406</f>
        <v>83362166.810000002</v>
      </c>
      <c r="R407" s="354"/>
      <c r="S407" s="378"/>
      <c r="T407" s="126"/>
      <c r="U407" s="126"/>
      <c r="V407" s="126"/>
      <c r="W407" s="126"/>
      <c r="X407" s="126"/>
      <c r="Y407" s="126"/>
      <c r="Z407" s="126"/>
      <c r="AA407" s="126"/>
      <c r="AB407" s="126"/>
      <c r="AC407" s="126"/>
      <c r="AD407" s="37">
        <f t="shared" si="476"/>
        <v>0</v>
      </c>
      <c r="AE407" s="126"/>
      <c r="AF407" s="126">
        <f>AC407+Z407</f>
        <v>0</v>
      </c>
      <c r="AG407" s="126">
        <f>AD407+AA407</f>
        <v>0</v>
      </c>
      <c r="AH407" s="126"/>
      <c r="AI407" s="126"/>
      <c r="AJ407" s="126"/>
      <c r="AK407" s="126"/>
      <c r="AL407" s="126">
        <f>8089.61771/1.12+20348.29902/1.12+9712.48292/1.12+13615.35916/1.12</f>
        <v>46219.427508928566</v>
      </c>
      <c r="AM407" s="125">
        <f t="shared" si="482"/>
        <v>51765.758809999999</v>
      </c>
      <c r="AN407" s="126"/>
      <c r="AO407" s="125">
        <f>AO406</f>
        <v>-130404.66449107144</v>
      </c>
      <c r="AP407" s="125">
        <f>AP406</f>
        <v>-146053.22423000002</v>
      </c>
      <c r="AQ407" s="125"/>
      <c r="AR407" s="128">
        <f>AR406</f>
        <v>0.26168246350519703</v>
      </c>
      <c r="AS407" s="129"/>
      <c r="AT407" s="129">
        <f>AL407</f>
        <v>46219.427508928566</v>
      </c>
      <c r="AU407" s="129"/>
      <c r="AV407" s="125">
        <f>AV406</f>
        <v>46219.427508928566</v>
      </c>
      <c r="AW407" s="125">
        <f t="shared" si="444"/>
        <v>51765.758809999999</v>
      </c>
      <c r="AX407" s="125"/>
      <c r="AY407" s="125"/>
      <c r="AZ407" s="125"/>
      <c r="BA407" s="125"/>
      <c r="BB407" s="125"/>
      <c r="BC407" s="125"/>
      <c r="BD407" s="125"/>
      <c r="BE407" s="125"/>
      <c r="BF407" s="118"/>
      <c r="BG407" s="125"/>
      <c r="BH407" s="125"/>
      <c r="BI407" s="125"/>
      <c r="BJ407" s="125"/>
      <c r="BK407" s="125"/>
      <c r="BL407" s="125"/>
      <c r="BM407" s="25"/>
      <c r="BN407" s="25"/>
      <c r="BO407" s="25"/>
      <c r="BP407" s="25"/>
      <c r="BQ407" s="25"/>
      <c r="BR407" s="25"/>
      <c r="BS407" s="25"/>
      <c r="BT407" s="25"/>
      <c r="BW407" s="386"/>
      <c r="BX407" s="386"/>
    </row>
    <row r="408" spans="1:76" ht="17.25" customHeight="1" x14ac:dyDescent="0.25">
      <c r="A408" s="368"/>
      <c r="B408" s="369"/>
      <c r="C408" s="193" t="s">
        <v>69</v>
      </c>
      <c r="D408" s="193" t="s">
        <v>70</v>
      </c>
      <c r="E408" s="194"/>
      <c r="F408" s="194">
        <f t="shared" si="439"/>
        <v>0</v>
      </c>
      <c r="G408" s="394"/>
      <c r="H408" s="395"/>
      <c r="I408" s="195"/>
      <c r="J408" s="195">
        <f>I408*1.12</f>
        <v>0</v>
      </c>
      <c r="K408" s="370" t="s">
        <v>195</v>
      </c>
      <c r="L408" s="353" t="s">
        <v>202</v>
      </c>
      <c r="M408" s="372" t="s">
        <v>96</v>
      </c>
      <c r="N408" s="196">
        <f t="shared" ref="N408" si="496">P408</f>
        <v>61139344.276785709</v>
      </c>
      <c r="O408" s="196">
        <f>Q408</f>
        <v>68476065.590000004</v>
      </c>
      <c r="P408" s="196">
        <f t="shared" si="472"/>
        <v>61139344.276785709</v>
      </c>
      <c r="Q408" s="247">
        <v>68476065.590000004</v>
      </c>
      <c r="R408" s="353" t="s">
        <v>134</v>
      </c>
      <c r="S408" s="376">
        <v>23</v>
      </c>
      <c r="T408" s="198"/>
      <c r="U408" s="198"/>
      <c r="V408" s="198"/>
      <c r="W408" s="198"/>
      <c r="X408" s="198"/>
      <c r="Y408" s="198"/>
      <c r="Z408" s="198"/>
      <c r="AA408" s="198"/>
      <c r="AB408" s="198"/>
      <c r="AC408" s="198"/>
      <c r="AD408" s="197">
        <f t="shared" si="476"/>
        <v>0</v>
      </c>
      <c r="AE408" s="198"/>
      <c r="AF408" s="198">
        <f>Z408+AC408</f>
        <v>0</v>
      </c>
      <c r="AG408" s="198">
        <f t="shared" ref="AG408:AH408" si="497">AA408+AD408</f>
        <v>0</v>
      </c>
      <c r="AH408" s="198">
        <f t="shared" si="497"/>
        <v>0</v>
      </c>
      <c r="AI408" s="198"/>
      <c r="AJ408" s="198"/>
      <c r="AK408" s="198"/>
      <c r="AL408" s="198">
        <f>119078-1+1</f>
        <v>119078</v>
      </c>
      <c r="AM408" s="199">
        <f t="shared" si="482"/>
        <v>133367.36000000002</v>
      </c>
      <c r="AN408" s="198">
        <f>3+2+4+6+1+7</f>
        <v>23</v>
      </c>
      <c r="AO408" s="199">
        <f>AL408-($AI$378/$AK$378*$AN$408)+($AI$378/$AK$378*AQ408)</f>
        <v>-46184.688571428589</v>
      </c>
      <c r="AP408" s="199">
        <f>AO408*1.12</f>
        <v>-51726.851200000026</v>
      </c>
      <c r="AQ408" s="237">
        <f>AN408-(5+5+4+3+3+3)</f>
        <v>0</v>
      </c>
      <c r="AR408" s="200">
        <f>IF($AI$378=0,"",AL408/($AI$378/$AK$378*AN408))</f>
        <v>0.72053771501201858</v>
      </c>
      <c r="AS408" s="201"/>
      <c r="AT408" s="201"/>
      <c r="AU408" s="201"/>
      <c r="AV408" s="199"/>
      <c r="AW408" s="199">
        <f t="shared" si="444"/>
        <v>0</v>
      </c>
      <c r="AX408" s="199">
        <f>S408</f>
        <v>23</v>
      </c>
      <c r="AY408" s="199"/>
      <c r="AZ408" s="199">
        <f>AL408-($AI$378/$AK$378*AN408)</f>
        <v>-46184.688571428589</v>
      </c>
      <c r="BA408" s="199"/>
      <c r="BB408" s="199"/>
      <c r="BC408" s="199"/>
      <c r="BD408" s="199"/>
      <c r="BE408" s="199"/>
      <c r="BF408" s="199"/>
      <c r="BG408" s="199"/>
      <c r="BH408" s="199"/>
      <c r="BI408" s="199"/>
      <c r="BJ408" s="199"/>
      <c r="BK408" s="199"/>
      <c r="BL408" s="199">
        <f>$AI$378/$AK$378*AQ408</f>
        <v>0</v>
      </c>
      <c r="BM408" s="202"/>
      <c r="BN408" s="202"/>
      <c r="BO408" s="202"/>
      <c r="BP408" s="202"/>
      <c r="BQ408" s="202"/>
      <c r="BR408" s="202"/>
      <c r="BS408" s="202"/>
      <c r="BT408" s="202"/>
      <c r="BU408" s="204"/>
      <c r="BV408" s="204"/>
      <c r="BW408" s="386"/>
      <c r="BX408" s="386"/>
    </row>
    <row r="409" spans="1:76" ht="17.25" customHeight="1" x14ac:dyDescent="0.25">
      <c r="A409" s="368"/>
      <c r="B409" s="369"/>
      <c r="C409" s="117" t="s">
        <v>71</v>
      </c>
      <c r="D409" s="117" t="s">
        <v>72</v>
      </c>
      <c r="E409" s="163"/>
      <c r="F409" s="163">
        <f t="shared" ref="F409:F410" si="498">E409*1.12</f>
        <v>0</v>
      </c>
      <c r="G409" s="394"/>
      <c r="H409" s="395"/>
      <c r="I409" s="161"/>
      <c r="J409" s="161">
        <f t="shared" ref="J409" si="499">I409*1.12</f>
        <v>0</v>
      </c>
      <c r="K409" s="370"/>
      <c r="L409" s="375"/>
      <c r="M409" s="373"/>
      <c r="N409" s="127">
        <f t="shared" ref="N409:Q410" si="500">N408</f>
        <v>61139344.276785709</v>
      </c>
      <c r="O409" s="127">
        <f t="shared" si="500"/>
        <v>68476065.590000004</v>
      </c>
      <c r="P409" s="120">
        <f t="shared" si="500"/>
        <v>61139344.276785709</v>
      </c>
      <c r="Q409" s="162">
        <f t="shared" si="500"/>
        <v>68476065.590000004</v>
      </c>
      <c r="R409" s="375"/>
      <c r="S409" s="377"/>
      <c r="T409" s="119"/>
      <c r="U409" s="119"/>
      <c r="V409" s="119"/>
      <c r="W409" s="119"/>
      <c r="X409" s="119"/>
      <c r="Y409" s="119"/>
      <c r="Z409" s="119"/>
      <c r="AA409" s="119"/>
      <c r="AB409" s="119"/>
      <c r="AC409" s="119"/>
      <c r="AD409" s="206">
        <f t="shared" si="476"/>
        <v>0</v>
      </c>
      <c r="AE409" s="119"/>
      <c r="AF409" s="119">
        <f>AC409+Z409</f>
        <v>0</v>
      </c>
      <c r="AG409" s="119">
        <f t="shared" ref="AG409" si="501">AD409+AA409</f>
        <v>0</v>
      </c>
      <c r="AH409" s="119"/>
      <c r="AI409" s="119"/>
      <c r="AJ409" s="119"/>
      <c r="AK409" s="119"/>
      <c r="AL409" s="119">
        <f>AL410</f>
        <v>31154.233107142856</v>
      </c>
      <c r="AM409" s="163">
        <f>AL409*1.12</f>
        <v>34892.74108</v>
      </c>
      <c r="AN409" s="119"/>
      <c r="AO409" s="118">
        <f>AL409-($AI$379/$AK$378*$AN$408)+$AI$379/$AK$378*AQ408</f>
        <v>-113929.84246428573</v>
      </c>
      <c r="AP409" s="118">
        <f>AO409*1.12</f>
        <v>-127601.42356000002</v>
      </c>
      <c r="AQ409" s="118"/>
      <c r="AR409" s="121">
        <f>IF($AI$379=0,"",AL409/($AI$379/$AK$378*AN408))</f>
        <v>0.21473227150835611</v>
      </c>
      <c r="AS409" s="122"/>
      <c r="AT409" s="122">
        <f>AL409</f>
        <v>31154.233107142856</v>
      </c>
      <c r="AU409" s="122"/>
      <c r="AV409" s="118"/>
      <c r="AW409" s="118">
        <f t="shared" ref="AW409:AW410" si="502">AV409*1.12</f>
        <v>0</v>
      </c>
      <c r="AX409" s="118"/>
      <c r="AY409" s="118"/>
      <c r="AZ409" s="118"/>
      <c r="BA409" s="118"/>
      <c r="BB409" s="118"/>
      <c r="BC409" s="118"/>
      <c r="BD409" s="118"/>
      <c r="BE409" s="118"/>
      <c r="BF409" s="118"/>
      <c r="BG409" s="118"/>
      <c r="BH409" s="118"/>
      <c r="BI409" s="118"/>
      <c r="BJ409" s="118"/>
      <c r="BK409" s="118"/>
      <c r="BL409" s="118"/>
      <c r="BM409" s="100"/>
      <c r="BN409" s="100"/>
      <c r="BO409" s="100"/>
      <c r="BP409" s="100"/>
      <c r="BQ409" s="100"/>
      <c r="BR409" s="100"/>
      <c r="BS409" s="100"/>
      <c r="BT409" s="100"/>
      <c r="BU409" s="97"/>
      <c r="BV409" s="97"/>
      <c r="BW409" s="386"/>
      <c r="BX409" s="386"/>
    </row>
    <row r="410" spans="1:76" ht="17.25" customHeight="1" x14ac:dyDescent="0.25">
      <c r="A410" s="368"/>
      <c r="B410" s="369"/>
      <c r="C410" s="124" t="s">
        <v>71</v>
      </c>
      <c r="D410" s="124" t="s">
        <v>73</v>
      </c>
      <c r="E410" s="167"/>
      <c r="F410" s="167">
        <f t="shared" si="498"/>
        <v>0</v>
      </c>
      <c r="G410" s="394"/>
      <c r="H410" s="395"/>
      <c r="I410" s="166"/>
      <c r="J410" s="166">
        <f>I410*1.12</f>
        <v>0</v>
      </c>
      <c r="K410" s="370"/>
      <c r="L410" s="354"/>
      <c r="M410" s="374"/>
      <c r="N410" s="127">
        <f t="shared" si="500"/>
        <v>61139344.276785709</v>
      </c>
      <c r="O410" s="127">
        <f t="shared" si="500"/>
        <v>68476065.590000004</v>
      </c>
      <c r="P410" s="127">
        <f t="shared" si="500"/>
        <v>61139344.276785709</v>
      </c>
      <c r="Q410" s="232">
        <f t="shared" si="500"/>
        <v>68476065.590000004</v>
      </c>
      <c r="R410" s="354"/>
      <c r="S410" s="378"/>
      <c r="T410" s="126"/>
      <c r="U410" s="126"/>
      <c r="V410" s="126"/>
      <c r="W410" s="126"/>
      <c r="X410" s="126"/>
      <c r="Y410" s="126"/>
      <c r="Z410" s="126"/>
      <c r="AA410" s="126"/>
      <c r="AB410" s="126"/>
      <c r="AC410" s="126"/>
      <c r="AD410" s="37">
        <f t="shared" si="476"/>
        <v>0</v>
      </c>
      <c r="AE410" s="126"/>
      <c r="AF410" s="126">
        <f>AC410+Z410</f>
        <v>0</v>
      </c>
      <c r="AG410" s="126">
        <f>AD410+AA410</f>
        <v>0</v>
      </c>
      <c r="AH410" s="126"/>
      <c r="AI410" s="126"/>
      <c r="AJ410" s="126"/>
      <c r="AK410" s="126"/>
      <c r="AL410" s="126">
        <f>8163.42327/1.12+4460.9357/1.12+8189.79347/1.12+14078.58864/1.12</f>
        <v>31154.233107142856</v>
      </c>
      <c r="AM410" s="167">
        <f>AL410*1.12</f>
        <v>34892.74108</v>
      </c>
      <c r="AN410" s="126"/>
      <c r="AO410" s="125">
        <f>AO409</f>
        <v>-113929.84246428573</v>
      </c>
      <c r="AP410" s="125">
        <f>AP409</f>
        <v>-127601.42356000002</v>
      </c>
      <c r="AQ410" s="125"/>
      <c r="AR410" s="128">
        <f>AR409</f>
        <v>0.21473227150835611</v>
      </c>
      <c r="AS410" s="129"/>
      <c r="AT410" s="129">
        <f>AL410</f>
        <v>31154.233107142856</v>
      </c>
      <c r="AU410" s="129"/>
      <c r="AV410" s="125"/>
      <c r="AW410" s="125">
        <f t="shared" si="502"/>
        <v>0</v>
      </c>
      <c r="AX410" s="125"/>
      <c r="AY410" s="125"/>
      <c r="AZ410" s="125"/>
      <c r="BA410" s="125"/>
      <c r="BB410" s="125"/>
      <c r="BC410" s="125"/>
      <c r="BD410" s="125"/>
      <c r="BE410" s="125"/>
      <c r="BF410" s="118"/>
      <c r="BG410" s="125"/>
      <c r="BH410" s="125"/>
      <c r="BI410" s="125"/>
      <c r="BJ410" s="125"/>
      <c r="BK410" s="125"/>
      <c r="BL410" s="125"/>
      <c r="BM410" s="25"/>
      <c r="BN410" s="25"/>
      <c r="BO410" s="25"/>
      <c r="BP410" s="25"/>
      <c r="BQ410" s="25"/>
      <c r="BR410" s="25"/>
      <c r="BS410" s="25"/>
      <c r="BT410" s="25"/>
      <c r="BW410" s="386"/>
      <c r="BX410" s="386"/>
    </row>
    <row r="411" spans="1:76" s="264" customFormat="1" ht="17.25" hidden="1" customHeight="1" x14ac:dyDescent="0.25">
      <c r="A411" s="366"/>
      <c r="B411" s="367" t="s">
        <v>94</v>
      </c>
      <c r="C411" s="253" t="s">
        <v>69</v>
      </c>
      <c r="D411" s="253" t="s">
        <v>70</v>
      </c>
      <c r="E411" s="254">
        <f>E414+E430</f>
        <v>0</v>
      </c>
      <c r="F411" s="254">
        <f>F414+F430</f>
        <v>0</v>
      </c>
      <c r="G411" s="255"/>
      <c r="H411" s="254"/>
      <c r="I411" s="254">
        <f>I414+I430</f>
        <v>0</v>
      </c>
      <c r="J411" s="254">
        <f>J414+J430</f>
        <v>0</v>
      </c>
      <c r="K411" s="256"/>
      <c r="L411" s="257"/>
      <c r="M411" s="258"/>
      <c r="N411" s="259">
        <f>N414+N430</f>
        <v>0</v>
      </c>
      <c r="O411" s="259">
        <f t="shared" ref="O411:Q412" si="503">O414+O430</f>
        <v>0</v>
      </c>
      <c r="P411" s="259">
        <f t="shared" si="503"/>
        <v>0</v>
      </c>
      <c r="Q411" s="259">
        <f t="shared" si="503"/>
        <v>0</v>
      </c>
      <c r="R411" s="256"/>
      <c r="S411" s="254"/>
      <c r="T411" s="254">
        <f t="shared" ref="T411:U412" si="504">T414+T430</f>
        <v>0</v>
      </c>
      <c r="U411" s="254">
        <f t="shared" si="504"/>
        <v>0</v>
      </c>
      <c r="V411" s="260"/>
      <c r="W411" s="254">
        <f t="shared" ref="W411:X412" si="505">W414+W430</f>
        <v>0</v>
      </c>
      <c r="X411" s="254">
        <f t="shared" si="505"/>
        <v>0</v>
      </c>
      <c r="Y411" s="260"/>
      <c r="Z411" s="254">
        <f t="shared" ref="Z411:AA412" si="506">Z414+Z430</f>
        <v>0</v>
      </c>
      <c r="AA411" s="254">
        <f t="shared" si="506"/>
        <v>0</v>
      </c>
      <c r="AB411" s="260"/>
      <c r="AC411" s="254">
        <f t="shared" ref="AC411:AD412" si="507">AC414+AC430</f>
        <v>0</v>
      </c>
      <c r="AD411" s="254">
        <f t="shared" si="507"/>
        <v>0</v>
      </c>
      <c r="AE411" s="260"/>
      <c r="AF411" s="254">
        <f t="shared" ref="AF411:AG412" si="508">AF414+AF430</f>
        <v>0</v>
      </c>
      <c r="AG411" s="254">
        <f t="shared" si="508"/>
        <v>0</v>
      </c>
      <c r="AH411" s="260"/>
      <c r="AI411" s="254">
        <f t="shared" ref="AI411:AJ412" si="509">AI414+AI430</f>
        <v>0</v>
      </c>
      <c r="AJ411" s="254">
        <f t="shared" si="509"/>
        <v>0</v>
      </c>
      <c r="AK411" s="260"/>
      <c r="AL411" s="254">
        <f t="shared" ref="AL411:AM412" si="510">AL414+AL430</f>
        <v>0</v>
      </c>
      <c r="AM411" s="254">
        <f t="shared" si="510"/>
        <v>0</v>
      </c>
      <c r="AN411" s="260"/>
      <c r="AO411" s="254">
        <f t="shared" ref="AO411:AP412" si="511">AO414+AO430</f>
        <v>0</v>
      </c>
      <c r="AP411" s="254">
        <f t="shared" si="511"/>
        <v>0</v>
      </c>
      <c r="AQ411" s="254"/>
      <c r="AR411" s="261" t="str">
        <f t="shared" ref="AR411:AR433" si="512">IF(AI411=0,"",AL411/AI411)</f>
        <v/>
      </c>
      <c r="AS411" s="262">
        <f t="shared" ref="AS411:BL412" si="513">AS414+AS430</f>
        <v>0</v>
      </c>
      <c r="AT411" s="262">
        <f t="shared" si="513"/>
        <v>0</v>
      </c>
      <c r="AU411" s="262">
        <f t="shared" si="513"/>
        <v>0</v>
      </c>
      <c r="AV411" s="254">
        <f t="shared" si="513"/>
        <v>0</v>
      </c>
      <c r="AW411" s="254">
        <f t="shared" si="513"/>
        <v>0</v>
      </c>
      <c r="AX411" s="254">
        <f t="shared" si="513"/>
        <v>0</v>
      </c>
      <c r="AY411" s="254">
        <f t="shared" si="513"/>
        <v>0</v>
      </c>
      <c r="AZ411" s="254">
        <f t="shared" si="513"/>
        <v>0</v>
      </c>
      <c r="BA411" s="254">
        <f t="shared" si="513"/>
        <v>0</v>
      </c>
      <c r="BB411" s="254">
        <f t="shared" si="513"/>
        <v>0</v>
      </c>
      <c r="BC411" s="254">
        <f t="shared" si="513"/>
        <v>0</v>
      </c>
      <c r="BD411" s="254">
        <f t="shared" si="513"/>
        <v>0</v>
      </c>
      <c r="BE411" s="254">
        <f t="shared" si="513"/>
        <v>0</v>
      </c>
      <c r="BF411" s="254">
        <f t="shared" si="513"/>
        <v>0</v>
      </c>
      <c r="BG411" s="254">
        <f t="shared" si="513"/>
        <v>0</v>
      </c>
      <c r="BH411" s="254">
        <f t="shared" si="513"/>
        <v>0</v>
      </c>
      <c r="BI411" s="254">
        <f t="shared" si="513"/>
        <v>0</v>
      </c>
      <c r="BJ411" s="254">
        <f t="shared" si="513"/>
        <v>0</v>
      </c>
      <c r="BK411" s="254">
        <f t="shared" si="513"/>
        <v>0</v>
      </c>
      <c r="BL411" s="254">
        <f t="shared" si="513"/>
        <v>0</v>
      </c>
      <c r="BM411" s="261"/>
      <c r="BN411" s="261">
        <f t="shared" ref="BN411:BN412" si="514">BN414</f>
        <v>0</v>
      </c>
      <c r="BO411" s="254">
        <f t="shared" ref="BO411:BQ412" si="515">BO414+BO430</f>
        <v>0</v>
      </c>
      <c r="BP411" s="254">
        <f t="shared" si="515"/>
        <v>0</v>
      </c>
      <c r="BQ411" s="254">
        <f t="shared" si="515"/>
        <v>0</v>
      </c>
      <c r="BR411" s="261"/>
      <c r="BS411" s="261"/>
      <c r="BT411" s="263"/>
      <c r="BW411" s="265">
        <f>SUM(AY411:BL411)</f>
        <v>0</v>
      </c>
      <c r="BX411" s="266">
        <f>AO411-BW411</f>
        <v>0</v>
      </c>
    </row>
    <row r="412" spans="1:76" s="264" customFormat="1" ht="17.25" hidden="1" customHeight="1" x14ac:dyDescent="0.25">
      <c r="A412" s="366"/>
      <c r="B412" s="367"/>
      <c r="C412" s="253" t="s">
        <v>71</v>
      </c>
      <c r="D412" s="253" t="s">
        <v>72</v>
      </c>
      <c r="E412" s="254">
        <f>E415+E431</f>
        <v>0</v>
      </c>
      <c r="F412" s="254">
        <f>F415+F431</f>
        <v>0</v>
      </c>
      <c r="G412" s="255"/>
      <c r="H412" s="254"/>
      <c r="I412" s="254">
        <f>I415+I431</f>
        <v>0</v>
      </c>
      <c r="J412" s="254">
        <f>J415+J431</f>
        <v>0</v>
      </c>
      <c r="K412" s="256"/>
      <c r="L412" s="257"/>
      <c r="M412" s="258"/>
      <c r="N412" s="259">
        <f>N415+N431</f>
        <v>0</v>
      </c>
      <c r="O412" s="259">
        <f t="shared" si="503"/>
        <v>0</v>
      </c>
      <c r="P412" s="259">
        <f t="shared" si="503"/>
        <v>0</v>
      </c>
      <c r="Q412" s="259">
        <f t="shared" si="503"/>
        <v>0</v>
      </c>
      <c r="R412" s="256"/>
      <c r="S412" s="254"/>
      <c r="T412" s="254">
        <f t="shared" si="504"/>
        <v>0</v>
      </c>
      <c r="U412" s="254">
        <f t="shared" si="504"/>
        <v>0</v>
      </c>
      <c r="V412" s="260"/>
      <c r="W412" s="254">
        <f t="shared" si="505"/>
        <v>0</v>
      </c>
      <c r="X412" s="254">
        <f t="shared" si="505"/>
        <v>0</v>
      </c>
      <c r="Y412" s="260"/>
      <c r="Z412" s="254">
        <f t="shared" si="506"/>
        <v>0</v>
      </c>
      <c r="AA412" s="254">
        <f t="shared" si="506"/>
        <v>0</v>
      </c>
      <c r="AB412" s="260"/>
      <c r="AC412" s="254">
        <f t="shared" si="507"/>
        <v>0</v>
      </c>
      <c r="AD412" s="254">
        <f t="shared" si="507"/>
        <v>0</v>
      </c>
      <c r="AE412" s="260"/>
      <c r="AF412" s="254">
        <f t="shared" si="508"/>
        <v>0</v>
      </c>
      <c r="AG412" s="254">
        <f t="shared" si="508"/>
        <v>0</v>
      </c>
      <c r="AH412" s="260"/>
      <c r="AI412" s="254">
        <f t="shared" si="509"/>
        <v>0</v>
      </c>
      <c r="AJ412" s="254">
        <f t="shared" si="509"/>
        <v>0</v>
      </c>
      <c r="AK412" s="260"/>
      <c r="AL412" s="254">
        <f t="shared" si="510"/>
        <v>0</v>
      </c>
      <c r="AM412" s="254">
        <f t="shared" si="510"/>
        <v>0</v>
      </c>
      <c r="AN412" s="260"/>
      <c r="AO412" s="254">
        <f t="shared" si="511"/>
        <v>0</v>
      </c>
      <c r="AP412" s="254">
        <f t="shared" si="511"/>
        <v>0</v>
      </c>
      <c r="AQ412" s="254"/>
      <c r="AR412" s="261" t="str">
        <f t="shared" si="512"/>
        <v/>
      </c>
      <c r="AS412" s="262">
        <f t="shared" si="513"/>
        <v>0</v>
      </c>
      <c r="AT412" s="262">
        <f t="shared" si="513"/>
        <v>0</v>
      </c>
      <c r="AU412" s="262">
        <f t="shared" si="513"/>
        <v>0</v>
      </c>
      <c r="AV412" s="254">
        <f t="shared" si="513"/>
        <v>0</v>
      </c>
      <c r="AW412" s="254">
        <f t="shared" si="513"/>
        <v>-0.48</v>
      </c>
      <c r="AX412" s="254">
        <f t="shared" si="513"/>
        <v>0</v>
      </c>
      <c r="AY412" s="254">
        <f t="shared" si="513"/>
        <v>0</v>
      </c>
      <c r="AZ412" s="254">
        <f t="shared" si="513"/>
        <v>0</v>
      </c>
      <c r="BA412" s="254">
        <f t="shared" si="513"/>
        <v>0</v>
      </c>
      <c r="BB412" s="254">
        <f t="shared" si="513"/>
        <v>0</v>
      </c>
      <c r="BC412" s="254">
        <f t="shared" si="513"/>
        <v>0</v>
      </c>
      <c r="BD412" s="254">
        <f t="shared" si="513"/>
        <v>0</v>
      </c>
      <c r="BE412" s="254">
        <f t="shared" si="513"/>
        <v>0</v>
      </c>
      <c r="BF412" s="254">
        <f t="shared" si="513"/>
        <v>0</v>
      </c>
      <c r="BG412" s="254">
        <f t="shared" si="513"/>
        <v>0</v>
      </c>
      <c r="BH412" s="254">
        <f t="shared" si="513"/>
        <v>0</v>
      </c>
      <c r="BI412" s="254">
        <f t="shared" si="513"/>
        <v>0</v>
      </c>
      <c r="BJ412" s="254">
        <f t="shared" si="513"/>
        <v>0</v>
      </c>
      <c r="BK412" s="254">
        <f t="shared" si="513"/>
        <v>0</v>
      </c>
      <c r="BL412" s="254">
        <f t="shared" si="513"/>
        <v>0</v>
      </c>
      <c r="BM412" s="261"/>
      <c r="BN412" s="261">
        <f t="shared" si="514"/>
        <v>0</v>
      </c>
      <c r="BO412" s="254">
        <f t="shared" si="515"/>
        <v>0</v>
      </c>
      <c r="BP412" s="254">
        <f t="shared" si="515"/>
        <v>0</v>
      </c>
      <c r="BQ412" s="254">
        <f t="shared" si="515"/>
        <v>0</v>
      </c>
      <c r="BR412" s="261"/>
      <c r="BS412" s="261"/>
      <c r="BT412" s="263"/>
      <c r="BW412" s="267"/>
      <c r="BX412" s="268"/>
    </row>
    <row r="413" spans="1:76" s="81" customFormat="1" ht="17.25" hidden="1" customHeight="1" x14ac:dyDescent="0.25">
      <c r="A413" s="366"/>
      <c r="B413" s="367"/>
      <c r="C413" s="74" t="s">
        <v>71</v>
      </c>
      <c r="D413" s="74" t="s">
        <v>73</v>
      </c>
      <c r="E413" s="269">
        <f>E415+E431</f>
        <v>0</v>
      </c>
      <c r="F413" s="269">
        <f>F415+F431</f>
        <v>0</v>
      </c>
      <c r="G413" s="270"/>
      <c r="H413" s="269"/>
      <c r="I413" s="269">
        <f>I415+I431</f>
        <v>0</v>
      </c>
      <c r="J413" s="269">
        <f>J415+J431</f>
        <v>0</v>
      </c>
      <c r="K413" s="271"/>
      <c r="L413" s="272"/>
      <c r="M413" s="273"/>
      <c r="N413" s="274">
        <f>N415+N431</f>
        <v>0</v>
      </c>
      <c r="O413" s="274">
        <f t="shared" ref="O413:Q413" si="516">O415+O431</f>
        <v>0</v>
      </c>
      <c r="P413" s="274">
        <f t="shared" si="516"/>
        <v>0</v>
      </c>
      <c r="Q413" s="274">
        <f t="shared" si="516"/>
        <v>0</v>
      </c>
      <c r="R413" s="271"/>
      <c r="S413" s="269"/>
      <c r="T413" s="269">
        <f t="shared" ref="T413:U413" si="517">T415+T431</f>
        <v>0</v>
      </c>
      <c r="U413" s="269">
        <f t="shared" si="517"/>
        <v>0</v>
      </c>
      <c r="V413" s="275"/>
      <c r="W413" s="269">
        <f t="shared" ref="W413:X413" si="518">W415+W431</f>
        <v>0</v>
      </c>
      <c r="X413" s="269">
        <f t="shared" si="518"/>
        <v>0</v>
      </c>
      <c r="Y413" s="275"/>
      <c r="Z413" s="269">
        <f t="shared" ref="Z413:AA413" si="519">Z415+Z431</f>
        <v>0</v>
      </c>
      <c r="AA413" s="269">
        <f t="shared" si="519"/>
        <v>0</v>
      </c>
      <c r="AB413" s="275"/>
      <c r="AC413" s="269">
        <f t="shared" ref="AC413:AD413" si="520">AC415+AC431</f>
        <v>0</v>
      </c>
      <c r="AD413" s="269">
        <f t="shared" si="520"/>
        <v>0</v>
      </c>
      <c r="AE413" s="275"/>
      <c r="AF413" s="269">
        <f t="shared" ref="AF413:AG413" si="521">AF415+AF431</f>
        <v>0</v>
      </c>
      <c r="AG413" s="269">
        <f t="shared" si="521"/>
        <v>0</v>
      </c>
      <c r="AH413" s="275"/>
      <c r="AI413" s="269">
        <f t="shared" ref="AI413:AJ413" si="522">AI415+AI431</f>
        <v>0</v>
      </c>
      <c r="AJ413" s="269">
        <f t="shared" si="522"/>
        <v>0</v>
      </c>
      <c r="AK413" s="275"/>
      <c r="AL413" s="269">
        <f t="shared" ref="AL413:AM413" si="523">AL415+AL431</f>
        <v>0</v>
      </c>
      <c r="AM413" s="269">
        <f t="shared" si="523"/>
        <v>0</v>
      </c>
      <c r="AN413" s="275"/>
      <c r="AO413" s="269">
        <f t="shared" ref="AO413:AP413" si="524">AO415+AO431</f>
        <v>0</v>
      </c>
      <c r="AP413" s="269">
        <f t="shared" si="524"/>
        <v>0</v>
      </c>
      <c r="AQ413" s="269"/>
      <c r="AR413" s="276" t="str">
        <f t="shared" si="512"/>
        <v/>
      </c>
      <c r="AS413" s="277">
        <f t="shared" ref="AS413:BL413" si="525">AS415+AS431</f>
        <v>0</v>
      </c>
      <c r="AT413" s="277">
        <f t="shared" si="525"/>
        <v>0</v>
      </c>
      <c r="AU413" s="277">
        <f t="shared" si="525"/>
        <v>0</v>
      </c>
      <c r="AV413" s="269">
        <f t="shared" si="525"/>
        <v>0</v>
      </c>
      <c r="AW413" s="269">
        <f t="shared" si="525"/>
        <v>-0.48</v>
      </c>
      <c r="AX413" s="269">
        <f t="shared" si="525"/>
        <v>0</v>
      </c>
      <c r="AY413" s="269">
        <f t="shared" si="525"/>
        <v>0</v>
      </c>
      <c r="AZ413" s="269">
        <f t="shared" si="525"/>
        <v>0</v>
      </c>
      <c r="BA413" s="269">
        <f t="shared" si="525"/>
        <v>0</v>
      </c>
      <c r="BB413" s="269">
        <f t="shared" si="525"/>
        <v>0</v>
      </c>
      <c r="BC413" s="269">
        <f t="shared" si="525"/>
        <v>0</v>
      </c>
      <c r="BD413" s="269">
        <f t="shared" si="525"/>
        <v>0</v>
      </c>
      <c r="BE413" s="269">
        <f t="shared" si="525"/>
        <v>0</v>
      </c>
      <c r="BF413" s="269">
        <f t="shared" si="525"/>
        <v>0</v>
      </c>
      <c r="BG413" s="269">
        <f t="shared" si="525"/>
        <v>0</v>
      </c>
      <c r="BH413" s="269">
        <f t="shared" si="525"/>
        <v>0</v>
      </c>
      <c r="BI413" s="269">
        <f t="shared" si="525"/>
        <v>0</v>
      </c>
      <c r="BJ413" s="269">
        <f t="shared" si="525"/>
        <v>0</v>
      </c>
      <c r="BK413" s="269">
        <f t="shared" si="525"/>
        <v>0</v>
      </c>
      <c r="BL413" s="269">
        <f t="shared" si="525"/>
        <v>0</v>
      </c>
      <c r="BM413" s="276"/>
      <c r="BN413" s="276">
        <f t="shared" ref="BN413" si="526">BN415</f>
        <v>0</v>
      </c>
      <c r="BO413" s="269">
        <f t="shared" ref="BO413:BQ413" si="527">BO415+BO431</f>
        <v>0</v>
      </c>
      <c r="BP413" s="269">
        <f t="shared" si="527"/>
        <v>0</v>
      </c>
      <c r="BQ413" s="269">
        <f t="shared" si="527"/>
        <v>0</v>
      </c>
      <c r="BR413" s="276"/>
      <c r="BS413" s="276"/>
      <c r="BT413" s="80"/>
      <c r="BW413" s="82"/>
      <c r="BX413" s="83"/>
    </row>
    <row r="414" spans="1:76" s="97" customFormat="1" ht="27.75" hidden="1" customHeight="1" x14ac:dyDescent="0.25">
      <c r="A414" s="349">
        <v>1</v>
      </c>
      <c r="B414" s="351" t="s">
        <v>203</v>
      </c>
      <c r="C414" s="84" t="s">
        <v>69</v>
      </c>
      <c r="D414" s="84" t="s">
        <v>70</v>
      </c>
      <c r="E414" s="278">
        <f>E416</f>
        <v>0</v>
      </c>
      <c r="F414" s="278">
        <f t="shared" ref="F414:BQ415" si="528">F416</f>
        <v>0</v>
      </c>
      <c r="G414" s="279"/>
      <c r="H414" s="278">
        <f t="shared" si="528"/>
        <v>0</v>
      </c>
      <c r="I414" s="170">
        <f t="shared" si="528"/>
        <v>0</v>
      </c>
      <c r="J414" s="170">
        <f t="shared" si="528"/>
        <v>0</v>
      </c>
      <c r="K414" s="88"/>
      <c r="L414" s="280"/>
      <c r="M414" s="281"/>
      <c r="N414" s="282">
        <f t="shared" si="528"/>
        <v>0</v>
      </c>
      <c r="O414" s="282">
        <f t="shared" si="528"/>
        <v>0</v>
      </c>
      <c r="P414" s="282">
        <f>P416</f>
        <v>0</v>
      </c>
      <c r="Q414" s="282">
        <f t="shared" si="528"/>
        <v>0</v>
      </c>
      <c r="R414" s="88">
        <f t="shared" si="528"/>
        <v>0</v>
      </c>
      <c r="S414" s="278"/>
      <c r="T414" s="170">
        <f t="shared" ref="T414:U415" si="529">T416</f>
        <v>0</v>
      </c>
      <c r="U414" s="170">
        <f t="shared" si="529"/>
        <v>0</v>
      </c>
      <c r="V414" s="170"/>
      <c r="W414" s="170">
        <f t="shared" ref="W414:X415" si="530">W416</f>
        <v>0</v>
      </c>
      <c r="X414" s="170">
        <f t="shared" si="530"/>
        <v>0</v>
      </c>
      <c r="Y414" s="170"/>
      <c r="Z414" s="170">
        <f t="shared" si="528"/>
        <v>0</v>
      </c>
      <c r="AA414" s="170">
        <f t="shared" si="528"/>
        <v>0</v>
      </c>
      <c r="AB414" s="170"/>
      <c r="AC414" s="170">
        <f t="shared" si="528"/>
        <v>0</v>
      </c>
      <c r="AD414" s="170">
        <f t="shared" si="528"/>
        <v>0</v>
      </c>
      <c r="AE414" s="170"/>
      <c r="AF414" s="170">
        <f t="shared" si="528"/>
        <v>0</v>
      </c>
      <c r="AG414" s="170">
        <f t="shared" si="528"/>
        <v>0</v>
      </c>
      <c r="AH414" s="170"/>
      <c r="AI414" s="170">
        <f t="shared" si="528"/>
        <v>0</v>
      </c>
      <c r="AJ414" s="170">
        <f t="shared" si="528"/>
        <v>0</v>
      </c>
      <c r="AK414" s="170"/>
      <c r="AL414" s="170">
        <f t="shared" si="528"/>
        <v>0</v>
      </c>
      <c r="AM414" s="278">
        <f t="shared" si="528"/>
        <v>0</v>
      </c>
      <c r="AN414" s="170"/>
      <c r="AO414" s="278">
        <f t="shared" si="528"/>
        <v>0</v>
      </c>
      <c r="AP414" s="278">
        <f t="shared" si="528"/>
        <v>0</v>
      </c>
      <c r="AQ414" s="278"/>
      <c r="AR414" s="283" t="str">
        <f t="shared" si="512"/>
        <v/>
      </c>
      <c r="AS414" s="284">
        <f t="shared" ref="AS414:AU415" si="531">AS416</f>
        <v>0</v>
      </c>
      <c r="AT414" s="284">
        <f t="shared" si="531"/>
        <v>0</v>
      </c>
      <c r="AU414" s="284">
        <f t="shared" si="531"/>
        <v>0</v>
      </c>
      <c r="AV414" s="278">
        <f t="shared" si="528"/>
        <v>0</v>
      </c>
      <c r="AW414" s="278">
        <f t="shared" si="528"/>
        <v>0</v>
      </c>
      <c r="AX414" s="278">
        <f t="shared" si="528"/>
        <v>0</v>
      </c>
      <c r="AY414" s="278">
        <f t="shared" si="528"/>
        <v>0</v>
      </c>
      <c r="AZ414" s="278">
        <f t="shared" si="528"/>
        <v>0</v>
      </c>
      <c r="BA414" s="278">
        <f t="shared" si="528"/>
        <v>0</v>
      </c>
      <c r="BB414" s="278">
        <f t="shared" si="528"/>
        <v>0</v>
      </c>
      <c r="BC414" s="278">
        <f t="shared" si="528"/>
        <v>0</v>
      </c>
      <c r="BD414" s="278">
        <f t="shared" si="528"/>
        <v>0</v>
      </c>
      <c r="BE414" s="278">
        <f t="shared" si="528"/>
        <v>0</v>
      </c>
      <c r="BF414" s="278">
        <f t="shared" si="528"/>
        <v>0</v>
      </c>
      <c r="BG414" s="278">
        <f t="shared" si="528"/>
        <v>0</v>
      </c>
      <c r="BH414" s="278">
        <f t="shared" si="528"/>
        <v>0</v>
      </c>
      <c r="BI414" s="278">
        <f t="shared" si="528"/>
        <v>0</v>
      </c>
      <c r="BJ414" s="278">
        <f t="shared" si="528"/>
        <v>0</v>
      </c>
      <c r="BK414" s="278">
        <f t="shared" si="528"/>
        <v>0</v>
      </c>
      <c r="BL414" s="278">
        <f t="shared" si="528"/>
        <v>0</v>
      </c>
      <c r="BM414" s="283"/>
      <c r="BN414" s="283">
        <f t="shared" si="528"/>
        <v>0</v>
      </c>
      <c r="BO414" s="278">
        <f t="shared" si="528"/>
        <v>0</v>
      </c>
      <c r="BP414" s="278">
        <f t="shared" si="528"/>
        <v>0</v>
      </c>
      <c r="BQ414" s="278">
        <f t="shared" si="528"/>
        <v>0</v>
      </c>
      <c r="BR414" s="283"/>
      <c r="BS414" s="283"/>
      <c r="BT414" s="96"/>
      <c r="BW414" s="100"/>
      <c r="BX414" s="101"/>
    </row>
    <row r="415" spans="1:76" s="97" customFormat="1" ht="27.75" hidden="1" customHeight="1" x14ac:dyDescent="0.25">
      <c r="A415" s="349"/>
      <c r="B415" s="351"/>
      <c r="C415" s="84" t="s">
        <v>71</v>
      </c>
      <c r="D415" s="84" t="s">
        <v>73</v>
      </c>
      <c r="E415" s="278">
        <f>E417</f>
        <v>0</v>
      </c>
      <c r="F415" s="278">
        <f t="shared" si="528"/>
        <v>0</v>
      </c>
      <c r="G415" s="279"/>
      <c r="H415" s="278">
        <f t="shared" si="528"/>
        <v>0</v>
      </c>
      <c r="I415" s="170">
        <f t="shared" si="528"/>
        <v>0</v>
      </c>
      <c r="J415" s="170">
        <f t="shared" si="528"/>
        <v>0</v>
      </c>
      <c r="K415" s="88"/>
      <c r="L415" s="280"/>
      <c r="M415" s="281"/>
      <c r="N415" s="282">
        <f t="shared" si="528"/>
        <v>0</v>
      </c>
      <c r="O415" s="282">
        <f t="shared" si="528"/>
        <v>0</v>
      </c>
      <c r="P415" s="282">
        <f t="shared" si="528"/>
        <v>0</v>
      </c>
      <c r="Q415" s="282">
        <f t="shared" si="528"/>
        <v>0</v>
      </c>
      <c r="R415" s="88">
        <f t="shared" si="528"/>
        <v>0</v>
      </c>
      <c r="S415" s="278"/>
      <c r="T415" s="170">
        <f t="shared" si="529"/>
        <v>0</v>
      </c>
      <c r="U415" s="170">
        <f t="shared" si="529"/>
        <v>0</v>
      </c>
      <c r="V415" s="170"/>
      <c r="W415" s="170">
        <f t="shared" si="530"/>
        <v>0</v>
      </c>
      <c r="X415" s="170">
        <f t="shared" si="530"/>
        <v>0</v>
      </c>
      <c r="Y415" s="170"/>
      <c r="Z415" s="170">
        <f t="shared" si="528"/>
        <v>0</v>
      </c>
      <c r="AA415" s="170">
        <f t="shared" si="528"/>
        <v>0</v>
      </c>
      <c r="AB415" s="170"/>
      <c r="AC415" s="170">
        <f t="shared" si="528"/>
        <v>0</v>
      </c>
      <c r="AD415" s="170">
        <f t="shared" si="528"/>
        <v>0</v>
      </c>
      <c r="AE415" s="170"/>
      <c r="AF415" s="170">
        <f t="shared" si="528"/>
        <v>0</v>
      </c>
      <c r="AG415" s="170">
        <f t="shared" si="528"/>
        <v>0</v>
      </c>
      <c r="AH415" s="170"/>
      <c r="AI415" s="170">
        <f t="shared" si="528"/>
        <v>0</v>
      </c>
      <c r="AJ415" s="170">
        <f t="shared" si="528"/>
        <v>0</v>
      </c>
      <c r="AK415" s="170"/>
      <c r="AL415" s="170">
        <f t="shared" si="528"/>
        <v>0</v>
      </c>
      <c r="AM415" s="278">
        <f t="shared" si="528"/>
        <v>0</v>
      </c>
      <c r="AN415" s="170"/>
      <c r="AO415" s="278">
        <f t="shared" si="528"/>
        <v>0</v>
      </c>
      <c r="AP415" s="278">
        <f t="shared" si="528"/>
        <v>0</v>
      </c>
      <c r="AQ415" s="278"/>
      <c r="AR415" s="283" t="str">
        <f t="shared" si="512"/>
        <v/>
      </c>
      <c r="AS415" s="284">
        <f t="shared" si="531"/>
        <v>0</v>
      </c>
      <c r="AT415" s="284">
        <f t="shared" si="531"/>
        <v>0</v>
      </c>
      <c r="AU415" s="284">
        <f t="shared" si="531"/>
        <v>0</v>
      </c>
      <c r="AV415" s="278">
        <f t="shared" si="528"/>
        <v>0</v>
      </c>
      <c r="AW415" s="278">
        <f>AW417</f>
        <v>-0.48</v>
      </c>
      <c r="AX415" s="278">
        <f t="shared" si="528"/>
        <v>0</v>
      </c>
      <c r="AY415" s="278">
        <f t="shared" si="528"/>
        <v>0</v>
      </c>
      <c r="AZ415" s="278">
        <f t="shared" si="528"/>
        <v>0</v>
      </c>
      <c r="BA415" s="278">
        <f t="shared" si="528"/>
        <v>0</v>
      </c>
      <c r="BB415" s="278">
        <f t="shared" si="528"/>
        <v>0</v>
      </c>
      <c r="BC415" s="278">
        <f t="shared" si="528"/>
        <v>0</v>
      </c>
      <c r="BD415" s="278">
        <f t="shared" si="528"/>
        <v>0</v>
      </c>
      <c r="BE415" s="278">
        <f t="shared" si="528"/>
        <v>0</v>
      </c>
      <c r="BF415" s="278">
        <f t="shared" si="528"/>
        <v>0</v>
      </c>
      <c r="BG415" s="278">
        <f t="shared" si="528"/>
        <v>0</v>
      </c>
      <c r="BH415" s="278">
        <f t="shared" si="528"/>
        <v>0</v>
      </c>
      <c r="BI415" s="278">
        <f t="shared" si="528"/>
        <v>0</v>
      </c>
      <c r="BJ415" s="278">
        <f t="shared" si="528"/>
        <v>0</v>
      </c>
      <c r="BK415" s="278">
        <f t="shared" si="528"/>
        <v>0</v>
      </c>
      <c r="BL415" s="278">
        <f t="shared" si="528"/>
        <v>0</v>
      </c>
      <c r="BM415" s="283"/>
      <c r="BN415" s="283">
        <f t="shared" si="528"/>
        <v>0</v>
      </c>
      <c r="BO415" s="278">
        <f t="shared" si="528"/>
        <v>0</v>
      </c>
      <c r="BP415" s="278">
        <f t="shared" si="528"/>
        <v>0</v>
      </c>
      <c r="BQ415" s="278">
        <f t="shared" si="528"/>
        <v>0</v>
      </c>
      <c r="BR415" s="283"/>
      <c r="BS415" s="283"/>
      <c r="BT415" s="96"/>
      <c r="BW415" s="100"/>
      <c r="BX415" s="101"/>
    </row>
    <row r="416" spans="1:76" s="97" customFormat="1" ht="30" hidden="1" customHeight="1" outlineLevel="1" x14ac:dyDescent="0.25">
      <c r="A416" s="368"/>
      <c r="B416" s="369"/>
      <c r="C416" s="117" t="s">
        <v>69</v>
      </c>
      <c r="D416" s="117" t="s">
        <v>70</v>
      </c>
      <c r="E416" s="118">
        <f t="shared" ref="E416:F417" si="532">E418+E420+E422+E424+E426+E428</f>
        <v>0</v>
      </c>
      <c r="F416" s="118">
        <f t="shared" si="532"/>
        <v>0</v>
      </c>
      <c r="G416" s="285">
        <v>1618</v>
      </c>
      <c r="H416" s="163"/>
      <c r="I416" s="118">
        <f t="shared" ref="I416:J417" si="533">I418+I420+I422+I424+I426+I428</f>
        <v>0</v>
      </c>
      <c r="J416" s="118">
        <f t="shared" si="533"/>
        <v>0</v>
      </c>
      <c r="K416" s="286"/>
      <c r="L416" s="287"/>
      <c r="M416" s="288"/>
      <c r="N416" s="289">
        <f>N418+N420+N422+N424+N426+N428</f>
        <v>0</v>
      </c>
      <c r="O416" s="289">
        <f>O418+O420+O422+O424+O426+O428</f>
        <v>0</v>
      </c>
      <c r="P416" s="289">
        <f t="shared" ref="P416:BT417" si="534">P418+P420+P422+P424+P426+P428</f>
        <v>0</v>
      </c>
      <c r="Q416" s="289">
        <f t="shared" si="534"/>
        <v>0</v>
      </c>
      <c r="R416" s="290"/>
      <c r="S416" s="118">
        <f t="shared" si="534"/>
        <v>0</v>
      </c>
      <c r="T416" s="119"/>
      <c r="U416" s="119"/>
      <c r="V416" s="119"/>
      <c r="W416" s="119"/>
      <c r="X416" s="119"/>
      <c r="Y416" s="119"/>
      <c r="Z416" s="119">
        <f t="shared" si="534"/>
        <v>0</v>
      </c>
      <c r="AA416" s="119">
        <f t="shared" si="534"/>
        <v>0</v>
      </c>
      <c r="AB416" s="119">
        <f t="shared" si="534"/>
        <v>0</v>
      </c>
      <c r="AC416" s="119">
        <f t="shared" si="534"/>
        <v>0</v>
      </c>
      <c r="AD416" s="119">
        <f t="shared" si="534"/>
        <v>0</v>
      </c>
      <c r="AE416" s="119">
        <f t="shared" si="534"/>
        <v>0</v>
      </c>
      <c r="AF416" s="119">
        <f t="shared" si="534"/>
        <v>0</v>
      </c>
      <c r="AG416" s="119">
        <f t="shared" si="534"/>
        <v>0</v>
      </c>
      <c r="AH416" s="119">
        <f t="shared" si="534"/>
        <v>0</v>
      </c>
      <c r="AI416" s="119">
        <f t="shared" si="534"/>
        <v>0</v>
      </c>
      <c r="AJ416" s="119">
        <f t="shared" si="534"/>
        <v>0</v>
      </c>
      <c r="AK416" s="119">
        <f t="shared" si="534"/>
        <v>0</v>
      </c>
      <c r="AL416" s="119">
        <f t="shared" si="534"/>
        <v>0</v>
      </c>
      <c r="AM416" s="118">
        <f t="shared" si="534"/>
        <v>0</v>
      </c>
      <c r="AN416" s="291">
        <f t="shared" si="534"/>
        <v>0</v>
      </c>
      <c r="AO416" s="118">
        <f t="shared" si="534"/>
        <v>0</v>
      </c>
      <c r="AP416" s="118">
        <f t="shared" si="534"/>
        <v>0</v>
      </c>
      <c r="AQ416" s="118">
        <f t="shared" si="534"/>
        <v>0</v>
      </c>
      <c r="AR416" s="123" t="str">
        <f t="shared" si="512"/>
        <v/>
      </c>
      <c r="AS416" s="122">
        <f t="shared" si="534"/>
        <v>0</v>
      </c>
      <c r="AT416" s="122">
        <f t="shared" si="534"/>
        <v>0</v>
      </c>
      <c r="AU416" s="122">
        <f t="shared" si="534"/>
        <v>0</v>
      </c>
      <c r="AV416" s="292">
        <f t="shared" si="534"/>
        <v>0</v>
      </c>
      <c r="AW416" s="292">
        <f t="shared" si="534"/>
        <v>0</v>
      </c>
      <c r="AX416" s="118">
        <f t="shared" si="534"/>
        <v>0</v>
      </c>
      <c r="AY416" s="118">
        <f t="shared" si="534"/>
        <v>0</v>
      </c>
      <c r="AZ416" s="118">
        <f t="shared" si="534"/>
        <v>0</v>
      </c>
      <c r="BA416" s="118">
        <f t="shared" si="534"/>
        <v>0</v>
      </c>
      <c r="BB416" s="118">
        <f t="shared" si="534"/>
        <v>0</v>
      </c>
      <c r="BC416" s="118">
        <f t="shared" si="534"/>
        <v>0</v>
      </c>
      <c r="BD416" s="118">
        <f t="shared" si="534"/>
        <v>0</v>
      </c>
      <c r="BE416" s="118">
        <f t="shared" si="534"/>
        <v>0</v>
      </c>
      <c r="BF416" s="118">
        <f t="shared" si="534"/>
        <v>0</v>
      </c>
      <c r="BG416" s="118">
        <f t="shared" si="534"/>
        <v>0</v>
      </c>
      <c r="BH416" s="118">
        <f t="shared" si="534"/>
        <v>0</v>
      </c>
      <c r="BI416" s="118">
        <f t="shared" si="534"/>
        <v>0</v>
      </c>
      <c r="BJ416" s="118">
        <f t="shared" si="534"/>
        <v>0</v>
      </c>
      <c r="BK416" s="118">
        <f t="shared" si="534"/>
        <v>0</v>
      </c>
      <c r="BL416" s="118">
        <f>AO416</f>
        <v>0</v>
      </c>
      <c r="BM416" s="123" t="s">
        <v>204</v>
      </c>
      <c r="BN416" s="123">
        <f t="shared" si="534"/>
        <v>0</v>
      </c>
      <c r="BO416" s="123">
        <f t="shared" si="534"/>
        <v>0</v>
      </c>
      <c r="BP416" s="123">
        <f t="shared" si="534"/>
        <v>0</v>
      </c>
      <c r="BQ416" s="123">
        <f t="shared" si="534"/>
        <v>0</v>
      </c>
      <c r="BR416" s="123">
        <f t="shared" si="534"/>
        <v>0</v>
      </c>
      <c r="BS416" s="123">
        <f t="shared" si="534"/>
        <v>0</v>
      </c>
      <c r="BT416" s="123">
        <f t="shared" si="534"/>
        <v>0</v>
      </c>
      <c r="BW416" s="100"/>
      <c r="BX416" s="101"/>
    </row>
    <row r="417" spans="1:76" ht="13.5" hidden="1" customHeight="1" outlineLevel="1" x14ac:dyDescent="0.25">
      <c r="A417" s="368"/>
      <c r="B417" s="369"/>
      <c r="C417" s="124" t="s">
        <v>71</v>
      </c>
      <c r="D417" s="124" t="s">
        <v>73</v>
      </c>
      <c r="E417" s="125">
        <f t="shared" si="532"/>
        <v>0</v>
      </c>
      <c r="F417" s="125">
        <f>F419+F421+F423+F425+F427+F429</f>
        <v>0</v>
      </c>
      <c r="G417" s="285"/>
      <c r="H417" s="167"/>
      <c r="I417" s="125">
        <f t="shared" si="533"/>
        <v>0</v>
      </c>
      <c r="J417" s="125">
        <f>J419+J421+J423+J425+J427+J429</f>
        <v>0</v>
      </c>
      <c r="K417" s="133"/>
      <c r="L417" s="134"/>
      <c r="M417" s="135"/>
      <c r="N417" s="293">
        <f>N419+N421+N423+N425+N427+N429</f>
        <v>0</v>
      </c>
      <c r="O417" s="293">
        <f>O419+O421+O423+O425+O427+O429</f>
        <v>0</v>
      </c>
      <c r="P417" s="293">
        <f t="shared" si="534"/>
        <v>0</v>
      </c>
      <c r="Q417" s="293">
        <f>Q419+Q421+Q423+Q425+Q427+Q429</f>
        <v>0</v>
      </c>
      <c r="R417" s="136"/>
      <c r="S417" s="125">
        <f t="shared" si="534"/>
        <v>0</v>
      </c>
      <c r="T417" s="126"/>
      <c r="U417" s="126"/>
      <c r="V417" s="126"/>
      <c r="W417" s="126"/>
      <c r="X417" s="126"/>
      <c r="Y417" s="126"/>
      <c r="Z417" s="126">
        <f t="shared" si="534"/>
        <v>0</v>
      </c>
      <c r="AA417" s="126">
        <f t="shared" si="534"/>
        <v>0</v>
      </c>
      <c r="AB417" s="126">
        <f t="shared" si="534"/>
        <v>0</v>
      </c>
      <c r="AC417" s="126">
        <f t="shared" si="534"/>
        <v>0</v>
      </c>
      <c r="AD417" s="126">
        <f t="shared" si="534"/>
        <v>0</v>
      </c>
      <c r="AE417" s="126">
        <f t="shared" si="534"/>
        <v>0</v>
      </c>
      <c r="AF417" s="126">
        <f t="shared" si="534"/>
        <v>0</v>
      </c>
      <c r="AG417" s="126">
        <f t="shared" si="534"/>
        <v>0</v>
      </c>
      <c r="AH417" s="126">
        <f t="shared" si="534"/>
        <v>0</v>
      </c>
      <c r="AI417" s="126">
        <f t="shared" si="534"/>
        <v>0</v>
      </c>
      <c r="AJ417" s="126">
        <f t="shared" si="534"/>
        <v>0</v>
      </c>
      <c r="AK417" s="126">
        <f t="shared" si="534"/>
        <v>0</v>
      </c>
      <c r="AL417" s="126">
        <f t="shared" si="534"/>
        <v>0</v>
      </c>
      <c r="AM417" s="125">
        <f t="shared" si="534"/>
        <v>0</v>
      </c>
      <c r="AN417" s="126">
        <f t="shared" si="534"/>
        <v>0</v>
      </c>
      <c r="AO417" s="125">
        <f t="shared" si="534"/>
        <v>0</v>
      </c>
      <c r="AP417" s="125">
        <f t="shared" si="534"/>
        <v>0</v>
      </c>
      <c r="AQ417" s="125">
        <f t="shared" si="534"/>
        <v>0</v>
      </c>
      <c r="AR417" s="130" t="str">
        <f t="shared" si="512"/>
        <v/>
      </c>
      <c r="AS417" s="129">
        <f t="shared" si="534"/>
        <v>0</v>
      </c>
      <c r="AT417" s="129">
        <f t="shared" si="534"/>
        <v>0</v>
      </c>
      <c r="AU417" s="129">
        <f t="shared" si="534"/>
        <v>0</v>
      </c>
      <c r="AV417" s="294">
        <f t="shared" si="534"/>
        <v>0</v>
      </c>
      <c r="AW417" s="294">
        <f>AW419+AW421+AW423+AW425+AW427+AW429</f>
        <v>-0.48</v>
      </c>
      <c r="AX417" s="125">
        <f t="shared" si="534"/>
        <v>0</v>
      </c>
      <c r="AY417" s="125">
        <f t="shared" si="534"/>
        <v>0</v>
      </c>
      <c r="AZ417" s="125">
        <f t="shared" si="534"/>
        <v>0</v>
      </c>
      <c r="BA417" s="125">
        <f t="shared" si="534"/>
        <v>0</v>
      </c>
      <c r="BB417" s="125">
        <f t="shared" si="534"/>
        <v>0</v>
      </c>
      <c r="BC417" s="125">
        <f t="shared" si="534"/>
        <v>0</v>
      </c>
      <c r="BD417" s="125">
        <f t="shared" si="534"/>
        <v>0</v>
      </c>
      <c r="BE417" s="125">
        <f t="shared" si="534"/>
        <v>0</v>
      </c>
      <c r="BF417" s="125">
        <f t="shared" si="534"/>
        <v>0</v>
      </c>
      <c r="BG417" s="125">
        <f t="shared" si="534"/>
        <v>0</v>
      </c>
      <c r="BH417" s="125">
        <f t="shared" si="534"/>
        <v>0</v>
      </c>
      <c r="BI417" s="125">
        <f t="shared" si="534"/>
        <v>0</v>
      </c>
      <c r="BJ417" s="125">
        <f t="shared" si="534"/>
        <v>0</v>
      </c>
      <c r="BK417" s="125">
        <f t="shared" si="534"/>
        <v>0</v>
      </c>
      <c r="BL417" s="125">
        <f t="shared" si="534"/>
        <v>0</v>
      </c>
      <c r="BM417" s="130">
        <f t="shared" si="534"/>
        <v>0</v>
      </c>
      <c r="BN417" s="130">
        <f t="shared" si="534"/>
        <v>0</v>
      </c>
      <c r="BO417" s="130">
        <f t="shared" si="534"/>
        <v>0</v>
      </c>
      <c r="BP417" s="130">
        <f t="shared" si="534"/>
        <v>0</v>
      </c>
      <c r="BQ417" s="130">
        <f t="shared" si="534"/>
        <v>0</v>
      </c>
      <c r="BR417" s="130">
        <f t="shared" si="534"/>
        <v>0</v>
      </c>
      <c r="BS417" s="130">
        <f t="shared" si="534"/>
        <v>0</v>
      </c>
      <c r="BT417" s="130">
        <f t="shared" si="534"/>
        <v>0</v>
      </c>
      <c r="BW417" s="25"/>
      <c r="BX417" s="26"/>
    </row>
    <row r="418" spans="1:76" s="97" customFormat="1" ht="17.25" hidden="1" customHeight="1" collapsed="1" x14ac:dyDescent="0.25">
      <c r="A418" s="368"/>
      <c r="B418" s="369"/>
      <c r="C418" s="117" t="s">
        <v>69</v>
      </c>
      <c r="D418" s="117" t="s">
        <v>70</v>
      </c>
      <c r="E418" s="163"/>
      <c r="F418" s="163">
        <f>E418*1.12</f>
        <v>0</v>
      </c>
      <c r="G418" s="285"/>
      <c r="H418" s="163"/>
      <c r="I418" s="161"/>
      <c r="J418" s="161">
        <f>I418*1.12</f>
        <v>0</v>
      </c>
      <c r="K418" s="359"/>
      <c r="L418" s="361"/>
      <c r="M418" s="363" t="s">
        <v>96</v>
      </c>
      <c r="N418" s="289">
        <f>P418</f>
        <v>0</v>
      </c>
      <c r="O418" s="289">
        <f t="shared" ref="O418:O429" si="535">N418*1.12</f>
        <v>0</v>
      </c>
      <c r="P418" s="289"/>
      <c r="Q418" s="289">
        <f t="shared" ref="Q418:Q429" si="536">P418*1.12</f>
        <v>0</v>
      </c>
      <c r="R418" s="359"/>
      <c r="S418" s="365"/>
      <c r="T418" s="37"/>
      <c r="U418" s="37">
        <f>T418*1.12</f>
        <v>0</v>
      </c>
      <c r="V418" s="37"/>
      <c r="W418" s="37"/>
      <c r="X418" s="37">
        <f>W418*1.12</f>
        <v>0</v>
      </c>
      <c r="Y418" s="37"/>
      <c r="Z418" s="119"/>
      <c r="AA418" s="119">
        <f t="shared" ref="AA418:AA429" si="537">Z418*1.12</f>
        <v>0</v>
      </c>
      <c r="AB418" s="119"/>
      <c r="AC418" s="119"/>
      <c r="AD418" s="119">
        <f t="shared" ref="AD418:AD422" si="538">AC418*1.12</f>
        <v>0</v>
      </c>
      <c r="AE418" s="119"/>
      <c r="AF418" s="119">
        <f t="shared" ref="AF418:AG429" si="539">Z418+AC418+W418+T418</f>
        <v>0</v>
      </c>
      <c r="AG418" s="119">
        <f t="shared" si="539"/>
        <v>0</v>
      </c>
      <c r="AH418" s="119"/>
      <c r="AI418" s="119"/>
      <c r="AJ418" s="119"/>
      <c r="AK418" s="119"/>
      <c r="AL418" s="119"/>
      <c r="AM418" s="118"/>
      <c r="AN418" s="291"/>
      <c r="AO418" s="118">
        <f t="shared" ref="AO418:AP429" si="540">AL418-AI418</f>
        <v>0</v>
      </c>
      <c r="AP418" s="118">
        <f t="shared" si="540"/>
        <v>0</v>
      </c>
      <c r="AQ418" s="118"/>
      <c r="AR418" s="121" t="str">
        <f t="shared" si="512"/>
        <v/>
      </c>
      <c r="AS418" s="122"/>
      <c r="AT418" s="122"/>
      <c r="AU418" s="122"/>
      <c r="AV418" s="118">
        <f t="shared" ref="AV418:AV429" si="541">P418-AF418</f>
        <v>0</v>
      </c>
      <c r="AW418" s="118">
        <f>AV418*1.12</f>
        <v>0</v>
      </c>
      <c r="AX418" s="118"/>
      <c r="AY418" s="118"/>
      <c r="AZ418" s="118"/>
      <c r="BA418" s="118"/>
      <c r="BB418" s="118"/>
      <c r="BC418" s="118"/>
      <c r="BD418" s="118"/>
      <c r="BE418" s="118"/>
      <c r="BF418" s="118"/>
      <c r="BG418" s="118"/>
      <c r="BH418" s="118"/>
      <c r="BI418" s="118"/>
      <c r="BJ418" s="118"/>
      <c r="BK418" s="118"/>
      <c r="BL418" s="118"/>
      <c r="BM418" s="357" t="s">
        <v>205</v>
      </c>
      <c r="BN418" s="100"/>
      <c r="BO418" s="100"/>
      <c r="BP418" s="100"/>
      <c r="BQ418" s="100"/>
      <c r="BR418" s="100"/>
      <c r="BS418" s="100"/>
      <c r="BT418" s="100"/>
      <c r="BW418" s="100"/>
      <c r="BX418" s="101"/>
    </row>
    <row r="419" spans="1:76" ht="15" hidden="1" x14ac:dyDescent="0.25">
      <c r="A419" s="368"/>
      <c r="B419" s="369"/>
      <c r="C419" s="124" t="s">
        <v>71</v>
      </c>
      <c r="D419" s="124" t="s">
        <v>73</v>
      </c>
      <c r="E419" s="295"/>
      <c r="F419" s="295">
        <f>E419*1.12</f>
        <v>0</v>
      </c>
      <c r="G419" s="34"/>
      <c r="H419" s="295"/>
      <c r="I419" s="296"/>
      <c r="J419" s="296">
        <f>I419*1.12</f>
        <v>0</v>
      </c>
      <c r="K419" s="360"/>
      <c r="L419" s="362"/>
      <c r="M419" s="364"/>
      <c r="N419" s="293">
        <f>P419</f>
        <v>0</v>
      </c>
      <c r="O419" s="293">
        <f t="shared" si="535"/>
        <v>0</v>
      </c>
      <c r="P419" s="293">
        <f>P418</f>
        <v>0</v>
      </c>
      <c r="Q419" s="293">
        <f t="shared" si="536"/>
        <v>0</v>
      </c>
      <c r="R419" s="360"/>
      <c r="S419" s="365"/>
      <c r="T419" s="37"/>
      <c r="U419" s="37">
        <f>T419*1.12</f>
        <v>0</v>
      </c>
      <c r="V419" s="37"/>
      <c r="W419" s="37"/>
      <c r="X419" s="37">
        <f>W419*1.12</f>
        <v>0</v>
      </c>
      <c r="Y419" s="37"/>
      <c r="Z419" s="126"/>
      <c r="AA419" s="126">
        <f t="shared" si="537"/>
        <v>0</v>
      </c>
      <c r="AB419" s="126"/>
      <c r="AC419" s="126"/>
      <c r="AD419" s="126">
        <f t="shared" si="538"/>
        <v>0</v>
      </c>
      <c r="AE419" s="126"/>
      <c r="AF419" s="126">
        <f t="shared" si="539"/>
        <v>0</v>
      </c>
      <c r="AG419" s="126">
        <f t="shared" si="539"/>
        <v>0</v>
      </c>
      <c r="AH419" s="126"/>
      <c r="AI419" s="126"/>
      <c r="AJ419" s="126">
        <f>AI419*1.12</f>
        <v>0</v>
      </c>
      <c r="AK419" s="126"/>
      <c r="AL419" s="126"/>
      <c r="AM419" s="125">
        <f>AL419*1.12</f>
        <v>0</v>
      </c>
      <c r="AN419" s="297"/>
      <c r="AO419" s="125">
        <f t="shared" si="540"/>
        <v>0</v>
      </c>
      <c r="AP419" s="125">
        <f t="shared" si="540"/>
        <v>0</v>
      </c>
      <c r="AQ419" s="125"/>
      <c r="AR419" s="121" t="str">
        <f t="shared" si="512"/>
        <v/>
      </c>
      <c r="AS419" s="129"/>
      <c r="AT419" s="129"/>
      <c r="AU419" s="129"/>
      <c r="AV419" s="125">
        <f>P419-AF419</f>
        <v>0</v>
      </c>
      <c r="AW419" s="125">
        <f>AV419*1.12-0.48</f>
        <v>-0.48</v>
      </c>
      <c r="AX419" s="125"/>
      <c r="AY419" s="125"/>
      <c r="AZ419" s="125"/>
      <c r="BA419" s="125"/>
      <c r="BB419" s="125"/>
      <c r="BC419" s="125"/>
      <c r="BD419" s="125"/>
      <c r="BE419" s="125"/>
      <c r="BF419" s="125"/>
      <c r="BG419" s="125"/>
      <c r="BH419" s="125"/>
      <c r="BI419" s="125"/>
      <c r="BJ419" s="125"/>
      <c r="BK419" s="125"/>
      <c r="BL419" s="125"/>
      <c r="BM419" s="358"/>
      <c r="BN419" s="25"/>
      <c r="BO419" s="25"/>
      <c r="BP419" s="25"/>
      <c r="BQ419" s="25"/>
      <c r="BR419" s="25"/>
      <c r="BS419" s="25"/>
      <c r="BT419" s="25"/>
      <c r="BW419" s="25"/>
      <c r="BX419" s="26"/>
    </row>
    <row r="420" spans="1:76" s="97" customFormat="1" ht="15" hidden="1" customHeight="1" x14ac:dyDescent="0.2">
      <c r="A420" s="368"/>
      <c r="B420" s="369"/>
      <c r="C420" s="117" t="s">
        <v>69</v>
      </c>
      <c r="D420" s="117" t="s">
        <v>70</v>
      </c>
      <c r="E420" s="298"/>
      <c r="F420" s="298"/>
      <c r="G420" s="299"/>
      <c r="H420" s="298"/>
      <c r="I420" s="300"/>
      <c r="J420" s="300"/>
      <c r="K420" s="359"/>
      <c r="L420" s="361"/>
      <c r="M420" s="363" t="s">
        <v>96</v>
      </c>
      <c r="N420" s="289">
        <f t="shared" ref="N420:N429" si="542">P420</f>
        <v>0</v>
      </c>
      <c r="O420" s="289">
        <f t="shared" si="535"/>
        <v>0</v>
      </c>
      <c r="P420" s="289"/>
      <c r="Q420" s="289">
        <f t="shared" si="536"/>
        <v>0</v>
      </c>
      <c r="R420" s="359"/>
      <c r="S420" s="365"/>
      <c r="T420" s="37"/>
      <c r="U420" s="37">
        <f t="shared" ref="U420:U429" si="543">T420*1.12</f>
        <v>0</v>
      </c>
      <c r="V420" s="37"/>
      <c r="W420" s="37"/>
      <c r="X420" s="37">
        <f t="shared" ref="X420:X429" si="544">W420*1.12</f>
        <v>0</v>
      </c>
      <c r="Y420" s="37"/>
      <c r="Z420" s="119"/>
      <c r="AA420" s="119">
        <f t="shared" si="537"/>
        <v>0</v>
      </c>
      <c r="AB420" s="119"/>
      <c r="AC420" s="119"/>
      <c r="AD420" s="119">
        <f t="shared" si="538"/>
        <v>0</v>
      </c>
      <c r="AE420" s="119"/>
      <c r="AF420" s="119">
        <f t="shared" si="539"/>
        <v>0</v>
      </c>
      <c r="AG420" s="119">
        <f t="shared" si="539"/>
        <v>0</v>
      </c>
      <c r="AH420" s="119"/>
      <c r="AI420" s="119"/>
      <c r="AJ420" s="119"/>
      <c r="AK420" s="119"/>
      <c r="AL420" s="119"/>
      <c r="AM420" s="118"/>
      <c r="AN420" s="119"/>
      <c r="AO420" s="118">
        <f t="shared" si="540"/>
        <v>0</v>
      </c>
      <c r="AP420" s="118">
        <f t="shared" si="540"/>
        <v>0</v>
      </c>
      <c r="AQ420" s="118"/>
      <c r="AR420" s="121" t="str">
        <f t="shared" si="512"/>
        <v/>
      </c>
      <c r="AS420" s="122"/>
      <c r="AT420" s="122"/>
      <c r="AU420" s="122"/>
      <c r="AV420" s="118">
        <f t="shared" si="541"/>
        <v>0</v>
      </c>
      <c r="AW420" s="118">
        <f t="shared" ref="AW420:AW429" si="545">AV420*1.12</f>
        <v>0</v>
      </c>
      <c r="AX420" s="118"/>
      <c r="AY420" s="118"/>
      <c r="AZ420" s="118"/>
      <c r="BA420" s="118"/>
      <c r="BB420" s="118"/>
      <c r="BC420" s="118"/>
      <c r="BD420" s="118"/>
      <c r="BE420" s="118"/>
      <c r="BF420" s="118"/>
      <c r="BG420" s="118"/>
      <c r="BH420" s="118"/>
      <c r="BI420" s="118"/>
      <c r="BJ420" s="118"/>
      <c r="BK420" s="118"/>
      <c r="BL420" s="118"/>
      <c r="BM420" s="357" t="s">
        <v>205</v>
      </c>
      <c r="BN420" s="100"/>
      <c r="BO420" s="100"/>
      <c r="BP420" s="100"/>
      <c r="BQ420" s="100"/>
      <c r="BR420" s="100"/>
      <c r="BS420" s="100"/>
      <c r="BT420" s="100"/>
      <c r="BW420" s="100"/>
      <c r="BX420" s="101"/>
    </row>
    <row r="421" spans="1:76" ht="15" hidden="1" x14ac:dyDescent="0.25">
      <c r="A421" s="368"/>
      <c r="B421" s="369"/>
      <c r="C421" s="124" t="s">
        <v>71</v>
      </c>
      <c r="D421" s="124" t="s">
        <v>73</v>
      </c>
      <c r="E421" s="295"/>
      <c r="F421" s="295"/>
      <c r="G421" s="34"/>
      <c r="H421" s="295"/>
      <c r="I421" s="296"/>
      <c r="J421" s="296"/>
      <c r="K421" s="360"/>
      <c r="L421" s="362"/>
      <c r="M421" s="364"/>
      <c r="N421" s="293">
        <f t="shared" si="542"/>
        <v>0</v>
      </c>
      <c r="O421" s="293">
        <f t="shared" si="535"/>
        <v>0</v>
      </c>
      <c r="P421" s="293">
        <f>P420</f>
        <v>0</v>
      </c>
      <c r="Q421" s="293">
        <f t="shared" si="536"/>
        <v>0</v>
      </c>
      <c r="R421" s="360"/>
      <c r="S421" s="365"/>
      <c r="T421" s="37"/>
      <c r="U421" s="37">
        <f t="shared" si="543"/>
        <v>0</v>
      </c>
      <c r="V421" s="37"/>
      <c r="W421" s="37"/>
      <c r="X421" s="37">
        <f t="shared" si="544"/>
        <v>0</v>
      </c>
      <c r="Y421" s="37"/>
      <c r="Z421" s="126"/>
      <c r="AA421" s="126">
        <f t="shared" si="537"/>
        <v>0</v>
      </c>
      <c r="AB421" s="126"/>
      <c r="AC421" s="126"/>
      <c r="AD421" s="126">
        <f t="shared" si="538"/>
        <v>0</v>
      </c>
      <c r="AE421" s="126"/>
      <c r="AF421" s="119">
        <f t="shared" si="539"/>
        <v>0</v>
      </c>
      <c r="AG421" s="119">
        <f t="shared" si="539"/>
        <v>0</v>
      </c>
      <c r="AH421" s="126"/>
      <c r="AI421" s="126"/>
      <c r="AJ421" s="126">
        <f>AI421*1.12</f>
        <v>0</v>
      </c>
      <c r="AK421" s="126"/>
      <c r="AL421" s="126"/>
      <c r="AM421" s="125">
        <f>AL421*1.12</f>
        <v>0</v>
      </c>
      <c r="AN421" s="126"/>
      <c r="AO421" s="125">
        <f t="shared" si="540"/>
        <v>0</v>
      </c>
      <c r="AP421" s="125">
        <f t="shared" si="540"/>
        <v>0</v>
      </c>
      <c r="AQ421" s="125"/>
      <c r="AR421" s="121" t="str">
        <f t="shared" si="512"/>
        <v/>
      </c>
      <c r="AS421" s="129"/>
      <c r="AT421" s="129"/>
      <c r="AU421" s="129"/>
      <c r="AV421" s="125"/>
      <c r="AW421" s="125">
        <f t="shared" si="545"/>
        <v>0</v>
      </c>
      <c r="AX421" s="125"/>
      <c r="AY421" s="125"/>
      <c r="AZ421" s="125"/>
      <c r="BA421" s="125"/>
      <c r="BB421" s="125"/>
      <c r="BC421" s="125"/>
      <c r="BD421" s="125"/>
      <c r="BE421" s="125"/>
      <c r="BF421" s="125"/>
      <c r="BG421" s="125"/>
      <c r="BH421" s="125"/>
      <c r="BI421" s="125"/>
      <c r="BJ421" s="125"/>
      <c r="BK421" s="125"/>
      <c r="BL421" s="125"/>
      <c r="BM421" s="358"/>
      <c r="BN421" s="25"/>
      <c r="BO421" s="25"/>
      <c r="BP421" s="25"/>
      <c r="BQ421" s="25"/>
      <c r="BR421" s="25"/>
      <c r="BS421" s="25"/>
      <c r="BT421" s="25"/>
      <c r="BW421" s="25"/>
      <c r="BX421" s="26"/>
    </row>
    <row r="422" spans="1:76" s="97" customFormat="1" ht="17.25" hidden="1" customHeight="1" x14ac:dyDescent="0.2">
      <c r="A422" s="368"/>
      <c r="B422" s="369"/>
      <c r="C422" s="117" t="s">
        <v>69</v>
      </c>
      <c r="D422" s="117" t="s">
        <v>70</v>
      </c>
      <c r="E422" s="298"/>
      <c r="F422" s="298"/>
      <c r="G422" s="299"/>
      <c r="H422" s="298"/>
      <c r="I422" s="300"/>
      <c r="J422" s="300"/>
      <c r="K422" s="359"/>
      <c r="L422" s="361"/>
      <c r="M422" s="363" t="s">
        <v>96</v>
      </c>
      <c r="N422" s="289">
        <f t="shared" si="542"/>
        <v>0</v>
      </c>
      <c r="O422" s="289">
        <f t="shared" si="535"/>
        <v>0</v>
      </c>
      <c r="P422" s="289"/>
      <c r="Q422" s="289">
        <f t="shared" si="536"/>
        <v>0</v>
      </c>
      <c r="R422" s="359"/>
      <c r="S422" s="365"/>
      <c r="T422" s="37"/>
      <c r="U422" s="37">
        <f t="shared" si="543"/>
        <v>0</v>
      </c>
      <c r="V422" s="37"/>
      <c r="W422" s="37"/>
      <c r="X422" s="37">
        <f t="shared" si="544"/>
        <v>0</v>
      </c>
      <c r="Y422" s="37"/>
      <c r="Z422" s="119"/>
      <c r="AA422" s="119">
        <f t="shared" si="537"/>
        <v>0</v>
      </c>
      <c r="AB422" s="119"/>
      <c r="AC422" s="119"/>
      <c r="AD422" s="119">
        <f t="shared" si="538"/>
        <v>0</v>
      </c>
      <c r="AE422" s="119"/>
      <c r="AF422" s="126">
        <f t="shared" si="539"/>
        <v>0</v>
      </c>
      <c r="AG422" s="126">
        <f t="shared" si="539"/>
        <v>0</v>
      </c>
      <c r="AH422" s="119"/>
      <c r="AI422" s="119"/>
      <c r="AJ422" s="119">
        <f>AI422*1.12</f>
        <v>0</v>
      </c>
      <c r="AK422" s="119"/>
      <c r="AL422" s="119"/>
      <c r="AM422" s="118">
        <f t="shared" ref="AM422:AM429" si="546">AL422*1.12</f>
        <v>0</v>
      </c>
      <c r="AN422" s="291"/>
      <c r="AO422" s="118">
        <f t="shared" si="540"/>
        <v>0</v>
      </c>
      <c r="AP422" s="118">
        <f t="shared" si="540"/>
        <v>0</v>
      </c>
      <c r="AQ422" s="118"/>
      <c r="AR422" s="121" t="str">
        <f t="shared" si="512"/>
        <v/>
      </c>
      <c r="AS422" s="122"/>
      <c r="AT422" s="122"/>
      <c r="AU422" s="122"/>
      <c r="AV422" s="118"/>
      <c r="AW422" s="118">
        <f t="shared" si="545"/>
        <v>0</v>
      </c>
      <c r="AX422" s="118"/>
      <c r="AY422" s="118"/>
      <c r="AZ422" s="118"/>
      <c r="BA422" s="118"/>
      <c r="BB422" s="118"/>
      <c r="BC422" s="118"/>
      <c r="BD422" s="118"/>
      <c r="BE422" s="118"/>
      <c r="BF422" s="118"/>
      <c r="BG422" s="118"/>
      <c r="BH422" s="118"/>
      <c r="BI422" s="118"/>
      <c r="BJ422" s="118"/>
      <c r="BK422" s="118"/>
      <c r="BL422" s="118">
        <f>AO422</f>
        <v>0</v>
      </c>
      <c r="BM422" s="357" t="s">
        <v>205</v>
      </c>
      <c r="BN422" s="100"/>
      <c r="BO422" s="100"/>
      <c r="BP422" s="100"/>
      <c r="BQ422" s="100"/>
      <c r="BR422" s="100"/>
      <c r="BS422" s="100"/>
      <c r="BT422" s="100"/>
      <c r="BW422" s="100"/>
      <c r="BX422" s="101"/>
    </row>
    <row r="423" spans="1:76" ht="15" hidden="1" x14ac:dyDescent="0.25">
      <c r="A423" s="368"/>
      <c r="B423" s="369"/>
      <c r="C423" s="124" t="s">
        <v>71</v>
      </c>
      <c r="D423" s="124" t="s">
        <v>73</v>
      </c>
      <c r="E423" s="295"/>
      <c r="F423" s="295"/>
      <c r="G423" s="34"/>
      <c r="H423" s="295"/>
      <c r="I423" s="296"/>
      <c r="J423" s="296"/>
      <c r="K423" s="360"/>
      <c r="L423" s="362"/>
      <c r="M423" s="364"/>
      <c r="N423" s="293">
        <f t="shared" si="542"/>
        <v>0</v>
      </c>
      <c r="O423" s="293">
        <f t="shared" si="535"/>
        <v>0</v>
      </c>
      <c r="P423" s="293">
        <f>P422</f>
        <v>0</v>
      </c>
      <c r="Q423" s="293">
        <f t="shared" si="536"/>
        <v>0</v>
      </c>
      <c r="R423" s="360"/>
      <c r="S423" s="365"/>
      <c r="T423" s="37"/>
      <c r="U423" s="37">
        <f t="shared" si="543"/>
        <v>0</v>
      </c>
      <c r="V423" s="37"/>
      <c r="W423" s="37"/>
      <c r="X423" s="37">
        <f t="shared" si="544"/>
        <v>0</v>
      </c>
      <c r="Y423" s="37"/>
      <c r="Z423" s="126"/>
      <c r="AA423" s="126">
        <f t="shared" si="537"/>
        <v>0</v>
      </c>
      <c r="AB423" s="126"/>
      <c r="AC423" s="126"/>
      <c r="AD423" s="126">
        <f>AC423*1.12</f>
        <v>0</v>
      </c>
      <c r="AE423" s="126"/>
      <c r="AF423" s="119">
        <f t="shared" si="539"/>
        <v>0</v>
      </c>
      <c r="AG423" s="119">
        <f t="shared" si="539"/>
        <v>0</v>
      </c>
      <c r="AH423" s="126"/>
      <c r="AI423" s="126"/>
      <c r="AJ423" s="126"/>
      <c r="AK423" s="126"/>
      <c r="AL423" s="126"/>
      <c r="AM423" s="125">
        <f t="shared" si="546"/>
        <v>0</v>
      </c>
      <c r="AN423" s="37"/>
      <c r="AO423" s="125">
        <f t="shared" si="540"/>
        <v>0</v>
      </c>
      <c r="AP423" s="125">
        <f t="shared" si="540"/>
        <v>0</v>
      </c>
      <c r="AQ423" s="125"/>
      <c r="AR423" s="121" t="str">
        <f t="shared" si="512"/>
        <v/>
      </c>
      <c r="AS423" s="129"/>
      <c r="AT423" s="129"/>
      <c r="AU423" s="129"/>
      <c r="AV423" s="118">
        <f t="shared" si="541"/>
        <v>0</v>
      </c>
      <c r="AW423" s="125">
        <f t="shared" si="545"/>
        <v>0</v>
      </c>
      <c r="AX423" s="125"/>
      <c r="AY423" s="125"/>
      <c r="AZ423" s="125"/>
      <c r="BA423" s="125"/>
      <c r="BB423" s="125"/>
      <c r="BC423" s="125"/>
      <c r="BD423" s="125"/>
      <c r="BE423" s="125"/>
      <c r="BF423" s="125"/>
      <c r="BG423" s="125"/>
      <c r="BH423" s="125"/>
      <c r="BI423" s="125"/>
      <c r="BJ423" s="125"/>
      <c r="BK423" s="125"/>
      <c r="BL423" s="125"/>
      <c r="BM423" s="358"/>
      <c r="BN423" s="25"/>
      <c r="BO423" s="25"/>
      <c r="BP423" s="25"/>
      <c r="BQ423" s="25"/>
      <c r="BR423" s="25"/>
      <c r="BS423" s="25"/>
      <c r="BT423" s="25"/>
      <c r="BW423" s="25"/>
      <c r="BX423" s="26"/>
    </row>
    <row r="424" spans="1:76" s="97" customFormat="1" ht="25.5" hidden="1" customHeight="1" x14ac:dyDescent="0.2">
      <c r="A424" s="368"/>
      <c r="B424" s="369"/>
      <c r="C424" s="117" t="s">
        <v>69</v>
      </c>
      <c r="D424" s="117" t="s">
        <v>70</v>
      </c>
      <c r="E424" s="298"/>
      <c r="F424" s="298"/>
      <c r="G424" s="299"/>
      <c r="H424" s="298"/>
      <c r="I424" s="300"/>
      <c r="J424" s="300"/>
      <c r="K424" s="359"/>
      <c r="L424" s="361"/>
      <c r="M424" s="363" t="s">
        <v>96</v>
      </c>
      <c r="N424" s="289">
        <f t="shared" si="542"/>
        <v>0</v>
      </c>
      <c r="O424" s="289">
        <f t="shared" si="535"/>
        <v>0</v>
      </c>
      <c r="P424" s="289"/>
      <c r="Q424" s="289">
        <f t="shared" si="536"/>
        <v>0</v>
      </c>
      <c r="R424" s="359"/>
      <c r="S424" s="365"/>
      <c r="T424" s="37"/>
      <c r="U424" s="37">
        <f t="shared" si="543"/>
        <v>0</v>
      </c>
      <c r="V424" s="37"/>
      <c r="W424" s="37"/>
      <c r="X424" s="37">
        <f t="shared" si="544"/>
        <v>0</v>
      </c>
      <c r="Y424" s="37"/>
      <c r="Z424" s="119"/>
      <c r="AA424" s="119">
        <f t="shared" si="537"/>
        <v>0</v>
      </c>
      <c r="AB424" s="119"/>
      <c r="AC424" s="119"/>
      <c r="AD424" s="119"/>
      <c r="AE424" s="119"/>
      <c r="AF424" s="119">
        <f t="shared" si="539"/>
        <v>0</v>
      </c>
      <c r="AG424" s="119">
        <f t="shared" si="539"/>
        <v>0</v>
      </c>
      <c r="AH424" s="119"/>
      <c r="AI424" s="119"/>
      <c r="AJ424" s="119">
        <f>AI424*1.12</f>
        <v>0</v>
      </c>
      <c r="AK424" s="119"/>
      <c r="AL424" s="119"/>
      <c r="AM424" s="118">
        <f t="shared" si="546"/>
        <v>0</v>
      </c>
      <c r="AN424" s="206"/>
      <c r="AO424" s="118">
        <f t="shared" si="540"/>
        <v>0</v>
      </c>
      <c r="AP424" s="118">
        <f t="shared" si="540"/>
        <v>0</v>
      </c>
      <c r="AQ424" s="118"/>
      <c r="AR424" s="121" t="str">
        <f t="shared" si="512"/>
        <v/>
      </c>
      <c r="AS424" s="122"/>
      <c r="AT424" s="122"/>
      <c r="AU424" s="122"/>
      <c r="AV424" s="118"/>
      <c r="AW424" s="118">
        <f t="shared" si="545"/>
        <v>0</v>
      </c>
      <c r="AX424" s="118"/>
      <c r="AY424" s="118"/>
      <c r="AZ424" s="118"/>
      <c r="BA424" s="118"/>
      <c r="BB424" s="118"/>
      <c r="BC424" s="118"/>
      <c r="BD424" s="118"/>
      <c r="BE424" s="118"/>
      <c r="BF424" s="118"/>
      <c r="BG424" s="118"/>
      <c r="BH424" s="118"/>
      <c r="BI424" s="118"/>
      <c r="BJ424" s="118"/>
      <c r="BK424" s="118"/>
      <c r="BL424" s="118">
        <f>AO424</f>
        <v>0</v>
      </c>
      <c r="BM424" s="357" t="s">
        <v>205</v>
      </c>
      <c r="BN424" s="100"/>
      <c r="BO424" s="100"/>
      <c r="BP424" s="100"/>
      <c r="BQ424" s="100"/>
      <c r="BR424" s="100"/>
      <c r="BS424" s="100"/>
      <c r="BT424" s="100"/>
      <c r="BW424" s="100"/>
      <c r="BX424" s="101"/>
    </row>
    <row r="425" spans="1:76" ht="25.5" hidden="1" customHeight="1" x14ac:dyDescent="0.25">
      <c r="A425" s="368"/>
      <c r="B425" s="369"/>
      <c r="C425" s="124" t="s">
        <v>71</v>
      </c>
      <c r="D425" s="124" t="s">
        <v>73</v>
      </c>
      <c r="E425" s="295"/>
      <c r="F425" s="295"/>
      <c r="G425" s="34"/>
      <c r="H425" s="295"/>
      <c r="I425" s="296"/>
      <c r="J425" s="296"/>
      <c r="K425" s="360"/>
      <c r="L425" s="362"/>
      <c r="M425" s="364"/>
      <c r="N425" s="293">
        <f t="shared" si="542"/>
        <v>0</v>
      </c>
      <c r="O425" s="293">
        <f t="shared" si="535"/>
        <v>0</v>
      </c>
      <c r="P425" s="293">
        <f>P424</f>
        <v>0</v>
      </c>
      <c r="Q425" s="293">
        <f t="shared" si="536"/>
        <v>0</v>
      </c>
      <c r="R425" s="360"/>
      <c r="S425" s="365"/>
      <c r="T425" s="37"/>
      <c r="U425" s="37">
        <f t="shared" si="543"/>
        <v>0</v>
      </c>
      <c r="V425" s="37"/>
      <c r="W425" s="37"/>
      <c r="X425" s="37">
        <f t="shared" si="544"/>
        <v>0</v>
      </c>
      <c r="Y425" s="37"/>
      <c r="Z425" s="126"/>
      <c r="AA425" s="126">
        <f t="shared" si="537"/>
        <v>0</v>
      </c>
      <c r="AB425" s="126"/>
      <c r="AC425" s="126"/>
      <c r="AD425" s="126">
        <f>AC425*1.12</f>
        <v>0</v>
      </c>
      <c r="AE425" s="126"/>
      <c r="AF425" s="126">
        <f t="shared" si="539"/>
        <v>0</v>
      </c>
      <c r="AG425" s="126">
        <f t="shared" si="539"/>
        <v>0</v>
      </c>
      <c r="AH425" s="126"/>
      <c r="AI425" s="126"/>
      <c r="AJ425" s="126"/>
      <c r="AK425" s="126"/>
      <c r="AL425" s="126"/>
      <c r="AM425" s="125">
        <f t="shared" si="546"/>
        <v>0</v>
      </c>
      <c r="AN425" s="37"/>
      <c r="AO425" s="125">
        <f t="shared" si="540"/>
        <v>0</v>
      </c>
      <c r="AP425" s="125">
        <f t="shared" si="540"/>
        <v>0</v>
      </c>
      <c r="AQ425" s="125"/>
      <c r="AR425" s="121" t="str">
        <f t="shared" si="512"/>
        <v/>
      </c>
      <c r="AS425" s="129"/>
      <c r="AT425" s="129"/>
      <c r="AU425" s="129"/>
      <c r="AV425" s="125">
        <f t="shared" si="541"/>
        <v>0</v>
      </c>
      <c r="AW425" s="125">
        <f t="shared" si="545"/>
        <v>0</v>
      </c>
      <c r="AX425" s="125"/>
      <c r="AY425" s="125"/>
      <c r="AZ425" s="125"/>
      <c r="BA425" s="125"/>
      <c r="BB425" s="125"/>
      <c r="BC425" s="125"/>
      <c r="BD425" s="125"/>
      <c r="BE425" s="125"/>
      <c r="BF425" s="125"/>
      <c r="BG425" s="125"/>
      <c r="BH425" s="125"/>
      <c r="BI425" s="125"/>
      <c r="BJ425" s="125"/>
      <c r="BK425" s="125"/>
      <c r="BL425" s="125"/>
      <c r="BM425" s="358"/>
      <c r="BN425" s="25"/>
      <c r="BO425" s="25"/>
      <c r="BP425" s="25"/>
      <c r="BQ425" s="25"/>
      <c r="BR425" s="25"/>
      <c r="BS425" s="25"/>
      <c r="BT425" s="25"/>
      <c r="BW425" s="25"/>
      <c r="BX425" s="26"/>
    </row>
    <row r="426" spans="1:76" s="97" customFormat="1" ht="27.75" hidden="1" customHeight="1" x14ac:dyDescent="0.2">
      <c r="A426" s="368"/>
      <c r="B426" s="369"/>
      <c r="C426" s="117" t="s">
        <v>69</v>
      </c>
      <c r="D426" s="117" t="s">
        <v>70</v>
      </c>
      <c r="E426" s="298"/>
      <c r="F426" s="298"/>
      <c r="G426" s="299"/>
      <c r="H426" s="298"/>
      <c r="I426" s="300"/>
      <c r="J426" s="300"/>
      <c r="K426" s="359"/>
      <c r="L426" s="361"/>
      <c r="M426" s="363" t="s">
        <v>96</v>
      </c>
      <c r="N426" s="289">
        <f t="shared" si="542"/>
        <v>0</v>
      </c>
      <c r="O426" s="289">
        <f t="shared" si="535"/>
        <v>0</v>
      </c>
      <c r="P426" s="289"/>
      <c r="Q426" s="289">
        <f t="shared" si="536"/>
        <v>0</v>
      </c>
      <c r="R426" s="359"/>
      <c r="S426" s="365"/>
      <c r="T426" s="37"/>
      <c r="U426" s="37">
        <f t="shared" si="543"/>
        <v>0</v>
      </c>
      <c r="V426" s="37"/>
      <c r="W426" s="37"/>
      <c r="X426" s="37">
        <f t="shared" si="544"/>
        <v>0</v>
      </c>
      <c r="Y426" s="37"/>
      <c r="Z426" s="119"/>
      <c r="AA426" s="119">
        <f t="shared" si="537"/>
        <v>0</v>
      </c>
      <c r="AB426" s="119"/>
      <c r="AC426" s="119"/>
      <c r="AD426" s="119">
        <f>AC426*1.12</f>
        <v>0</v>
      </c>
      <c r="AE426" s="119"/>
      <c r="AF426" s="119">
        <f t="shared" si="539"/>
        <v>0</v>
      </c>
      <c r="AG426" s="119">
        <f t="shared" si="539"/>
        <v>0</v>
      </c>
      <c r="AH426" s="119"/>
      <c r="AI426" s="119"/>
      <c r="AJ426" s="119"/>
      <c r="AK426" s="119"/>
      <c r="AL426" s="119"/>
      <c r="AM426" s="118">
        <f t="shared" si="546"/>
        <v>0</v>
      </c>
      <c r="AN426" s="291"/>
      <c r="AO426" s="118">
        <f t="shared" si="540"/>
        <v>0</v>
      </c>
      <c r="AP426" s="118">
        <f t="shared" si="540"/>
        <v>0</v>
      </c>
      <c r="AQ426" s="118"/>
      <c r="AR426" s="121" t="str">
        <f t="shared" si="512"/>
        <v/>
      </c>
      <c r="AS426" s="122"/>
      <c r="AT426" s="122"/>
      <c r="AU426" s="122"/>
      <c r="AV426" s="118">
        <f t="shared" si="541"/>
        <v>0</v>
      </c>
      <c r="AW426" s="118">
        <f t="shared" si="545"/>
        <v>0</v>
      </c>
      <c r="AX426" s="118"/>
      <c r="AY426" s="118"/>
      <c r="AZ426" s="118"/>
      <c r="BA426" s="118"/>
      <c r="BB426" s="118"/>
      <c r="BC426" s="118"/>
      <c r="BD426" s="118"/>
      <c r="BE426" s="118"/>
      <c r="BF426" s="118"/>
      <c r="BG426" s="118"/>
      <c r="BH426" s="118"/>
      <c r="BI426" s="118"/>
      <c r="BJ426" s="118"/>
      <c r="BK426" s="118"/>
      <c r="BL426" s="118"/>
      <c r="BM426" s="357" t="s">
        <v>205</v>
      </c>
      <c r="BN426" s="100"/>
      <c r="BO426" s="100"/>
      <c r="BP426" s="100"/>
      <c r="BQ426" s="100"/>
      <c r="BR426" s="100"/>
      <c r="BS426" s="100"/>
      <c r="BT426" s="100"/>
      <c r="BW426" s="100"/>
      <c r="BX426" s="101"/>
    </row>
    <row r="427" spans="1:76" ht="27.75" hidden="1" customHeight="1" x14ac:dyDescent="0.25">
      <c r="A427" s="368"/>
      <c r="B427" s="369"/>
      <c r="C427" s="124" t="s">
        <v>71</v>
      </c>
      <c r="D427" s="124" t="s">
        <v>73</v>
      </c>
      <c r="E427" s="295"/>
      <c r="F427" s="295"/>
      <c r="G427" s="34"/>
      <c r="H427" s="295"/>
      <c r="I427" s="296"/>
      <c r="J427" s="296"/>
      <c r="K427" s="360"/>
      <c r="L427" s="362"/>
      <c r="M427" s="364"/>
      <c r="N427" s="293">
        <f t="shared" si="542"/>
        <v>0</v>
      </c>
      <c r="O427" s="293">
        <f t="shared" si="535"/>
        <v>0</v>
      </c>
      <c r="P427" s="293">
        <f>P426</f>
        <v>0</v>
      </c>
      <c r="Q427" s="293">
        <f t="shared" si="536"/>
        <v>0</v>
      </c>
      <c r="R427" s="360"/>
      <c r="S427" s="365"/>
      <c r="T427" s="37"/>
      <c r="U427" s="37">
        <f t="shared" si="543"/>
        <v>0</v>
      </c>
      <c r="V427" s="37"/>
      <c r="W427" s="37"/>
      <c r="X427" s="37">
        <f t="shared" si="544"/>
        <v>0</v>
      </c>
      <c r="Y427" s="37"/>
      <c r="Z427" s="126"/>
      <c r="AA427" s="126">
        <f t="shared" si="537"/>
        <v>0</v>
      </c>
      <c r="AB427" s="126"/>
      <c r="AC427" s="126"/>
      <c r="AD427" s="126">
        <f>AC427*1.12</f>
        <v>0</v>
      </c>
      <c r="AE427" s="126"/>
      <c r="AF427" s="126">
        <f t="shared" si="539"/>
        <v>0</v>
      </c>
      <c r="AG427" s="126">
        <f t="shared" si="539"/>
        <v>0</v>
      </c>
      <c r="AH427" s="126"/>
      <c r="AI427" s="126"/>
      <c r="AJ427" s="126"/>
      <c r="AK427" s="126"/>
      <c r="AL427" s="126"/>
      <c r="AM427" s="125">
        <f t="shared" si="546"/>
        <v>0</v>
      </c>
      <c r="AN427" s="297"/>
      <c r="AO427" s="125">
        <f t="shared" si="540"/>
        <v>0</v>
      </c>
      <c r="AP427" s="125">
        <f t="shared" si="540"/>
        <v>0</v>
      </c>
      <c r="AQ427" s="125"/>
      <c r="AR427" s="121" t="str">
        <f t="shared" si="512"/>
        <v/>
      </c>
      <c r="AS427" s="129"/>
      <c r="AT427" s="129"/>
      <c r="AU427" s="129"/>
      <c r="AV427" s="125">
        <f t="shared" si="541"/>
        <v>0</v>
      </c>
      <c r="AW427" s="125">
        <f t="shared" si="545"/>
        <v>0</v>
      </c>
      <c r="AX427" s="125"/>
      <c r="AY427" s="125"/>
      <c r="AZ427" s="125"/>
      <c r="BA427" s="125"/>
      <c r="BB427" s="125"/>
      <c r="BC427" s="125"/>
      <c r="BD427" s="125"/>
      <c r="BE427" s="125"/>
      <c r="BF427" s="125"/>
      <c r="BG427" s="125"/>
      <c r="BH427" s="125"/>
      <c r="BI427" s="125"/>
      <c r="BJ427" s="125"/>
      <c r="BK427" s="125"/>
      <c r="BL427" s="125"/>
      <c r="BM427" s="358"/>
      <c r="BN427" s="25"/>
      <c r="BO427" s="25"/>
      <c r="BP427" s="25"/>
      <c r="BQ427" s="25"/>
      <c r="BR427" s="25"/>
      <c r="BS427" s="25"/>
      <c r="BT427" s="25"/>
      <c r="BW427" s="25"/>
      <c r="BX427" s="26"/>
    </row>
    <row r="428" spans="1:76" s="97" customFormat="1" ht="19.5" hidden="1" customHeight="1" x14ac:dyDescent="0.2">
      <c r="A428" s="368"/>
      <c r="B428" s="369"/>
      <c r="C428" s="117" t="s">
        <v>69</v>
      </c>
      <c r="D428" s="117" t="s">
        <v>70</v>
      </c>
      <c r="E428" s="298"/>
      <c r="F428" s="298"/>
      <c r="G428" s="299"/>
      <c r="H428" s="298"/>
      <c r="I428" s="300"/>
      <c r="J428" s="300"/>
      <c r="K428" s="359"/>
      <c r="L428" s="361"/>
      <c r="M428" s="363" t="s">
        <v>96</v>
      </c>
      <c r="N428" s="289">
        <f t="shared" si="542"/>
        <v>0</v>
      </c>
      <c r="O428" s="289">
        <f t="shared" si="535"/>
        <v>0</v>
      </c>
      <c r="P428" s="289"/>
      <c r="Q428" s="289">
        <f t="shared" si="536"/>
        <v>0</v>
      </c>
      <c r="R428" s="359"/>
      <c r="S428" s="365"/>
      <c r="T428" s="37"/>
      <c r="U428" s="37">
        <f t="shared" si="543"/>
        <v>0</v>
      </c>
      <c r="V428" s="37"/>
      <c r="W428" s="37"/>
      <c r="X428" s="37">
        <f t="shared" si="544"/>
        <v>0</v>
      </c>
      <c r="Y428" s="37"/>
      <c r="Z428" s="119"/>
      <c r="AA428" s="119">
        <f t="shared" si="537"/>
        <v>0</v>
      </c>
      <c r="AB428" s="119"/>
      <c r="AC428" s="119"/>
      <c r="AD428" s="119">
        <f>AC428*1.12</f>
        <v>0</v>
      </c>
      <c r="AE428" s="119"/>
      <c r="AF428" s="119">
        <f t="shared" si="539"/>
        <v>0</v>
      </c>
      <c r="AG428" s="119">
        <f t="shared" si="539"/>
        <v>0</v>
      </c>
      <c r="AH428" s="119"/>
      <c r="AI428" s="119"/>
      <c r="AJ428" s="119"/>
      <c r="AK428" s="119"/>
      <c r="AL428" s="119"/>
      <c r="AM428" s="118">
        <f t="shared" si="546"/>
        <v>0</v>
      </c>
      <c r="AN428" s="291"/>
      <c r="AO428" s="118">
        <f t="shared" si="540"/>
        <v>0</v>
      </c>
      <c r="AP428" s="118">
        <f t="shared" si="540"/>
        <v>0</v>
      </c>
      <c r="AQ428" s="118"/>
      <c r="AR428" s="121" t="str">
        <f t="shared" si="512"/>
        <v/>
      </c>
      <c r="AS428" s="122"/>
      <c r="AT428" s="122"/>
      <c r="AU428" s="122"/>
      <c r="AV428" s="118">
        <f t="shared" si="541"/>
        <v>0</v>
      </c>
      <c r="AW428" s="118">
        <f t="shared" si="545"/>
        <v>0</v>
      </c>
      <c r="AX428" s="118"/>
      <c r="AY428" s="118"/>
      <c r="AZ428" s="118"/>
      <c r="BA428" s="118"/>
      <c r="BB428" s="118"/>
      <c r="BC428" s="118"/>
      <c r="BD428" s="118"/>
      <c r="BE428" s="118"/>
      <c r="BF428" s="118"/>
      <c r="BG428" s="118"/>
      <c r="BH428" s="118"/>
      <c r="BI428" s="118"/>
      <c r="BJ428" s="118"/>
      <c r="BK428" s="118"/>
      <c r="BL428" s="118"/>
      <c r="BM428" s="357" t="s">
        <v>205</v>
      </c>
      <c r="BN428" s="100"/>
      <c r="BO428" s="100"/>
      <c r="BP428" s="100"/>
      <c r="BQ428" s="100"/>
      <c r="BR428" s="100"/>
      <c r="BS428" s="100"/>
      <c r="BT428" s="100"/>
      <c r="BW428" s="100"/>
      <c r="BX428" s="101"/>
    </row>
    <row r="429" spans="1:76" ht="15" hidden="1" x14ac:dyDescent="0.25">
      <c r="A429" s="368"/>
      <c r="B429" s="369"/>
      <c r="C429" s="124" t="s">
        <v>71</v>
      </c>
      <c r="D429" s="124" t="s">
        <v>73</v>
      </c>
      <c r="E429" s="295"/>
      <c r="F429" s="295"/>
      <c r="G429" s="34"/>
      <c r="H429" s="295"/>
      <c r="I429" s="296"/>
      <c r="J429" s="296"/>
      <c r="K429" s="360"/>
      <c r="L429" s="362"/>
      <c r="M429" s="364"/>
      <c r="N429" s="293">
        <f t="shared" si="542"/>
        <v>0</v>
      </c>
      <c r="O429" s="293">
        <f t="shared" si="535"/>
        <v>0</v>
      </c>
      <c r="P429" s="293">
        <f>P428</f>
        <v>0</v>
      </c>
      <c r="Q429" s="293">
        <f t="shared" si="536"/>
        <v>0</v>
      </c>
      <c r="R429" s="360"/>
      <c r="S429" s="365"/>
      <c r="T429" s="37"/>
      <c r="U429" s="37">
        <f t="shared" si="543"/>
        <v>0</v>
      </c>
      <c r="V429" s="37"/>
      <c r="W429" s="37"/>
      <c r="X429" s="37">
        <f t="shared" si="544"/>
        <v>0</v>
      </c>
      <c r="Y429" s="37"/>
      <c r="Z429" s="301"/>
      <c r="AA429" s="126">
        <f t="shared" si="537"/>
        <v>0</v>
      </c>
      <c r="AB429" s="301"/>
      <c r="AC429" s="126"/>
      <c r="AD429" s="126">
        <f>AC429*1.12</f>
        <v>0</v>
      </c>
      <c r="AE429" s="301"/>
      <c r="AF429" s="126">
        <f t="shared" si="539"/>
        <v>0</v>
      </c>
      <c r="AG429" s="126">
        <f t="shared" si="539"/>
        <v>0</v>
      </c>
      <c r="AH429" s="301"/>
      <c r="AI429" s="301"/>
      <c r="AJ429" s="301"/>
      <c r="AK429" s="301"/>
      <c r="AL429" s="126"/>
      <c r="AM429" s="125">
        <f t="shared" si="546"/>
        <v>0</v>
      </c>
      <c r="AN429" s="297"/>
      <c r="AO429" s="125">
        <f t="shared" si="540"/>
        <v>0</v>
      </c>
      <c r="AP429" s="125">
        <f t="shared" si="540"/>
        <v>0</v>
      </c>
      <c r="AQ429" s="125"/>
      <c r="AR429" s="121" t="str">
        <f t="shared" si="512"/>
        <v/>
      </c>
      <c r="AS429" s="302"/>
      <c r="AT429" s="129"/>
      <c r="AU429" s="302"/>
      <c r="AV429" s="118">
        <f t="shared" si="541"/>
        <v>0</v>
      </c>
      <c r="AW429" s="125">
        <f t="shared" si="545"/>
        <v>0</v>
      </c>
      <c r="AX429" s="303"/>
      <c r="AY429" s="303"/>
      <c r="AZ429" s="303"/>
      <c r="BA429" s="303"/>
      <c r="BB429" s="303"/>
      <c r="BC429" s="303"/>
      <c r="BD429" s="303"/>
      <c r="BE429" s="303"/>
      <c r="BF429" s="303"/>
      <c r="BG429" s="303"/>
      <c r="BH429" s="303"/>
      <c r="BI429" s="303"/>
      <c r="BJ429" s="303"/>
      <c r="BK429" s="303"/>
      <c r="BL429" s="303"/>
      <c r="BM429" s="358"/>
      <c r="BN429" s="25"/>
      <c r="BO429" s="25"/>
      <c r="BP429" s="25"/>
      <c r="BQ429" s="25"/>
      <c r="BR429" s="25"/>
      <c r="BS429" s="25"/>
      <c r="BT429" s="25"/>
      <c r="BW429" s="25"/>
      <c r="BX429" s="26"/>
    </row>
    <row r="430" spans="1:76" s="97" customFormat="1" ht="41.25" hidden="1" customHeight="1" outlineLevel="1" x14ac:dyDescent="0.25">
      <c r="A430" s="349">
        <v>2</v>
      </c>
      <c r="B430" s="351" t="s">
        <v>78</v>
      </c>
      <c r="C430" s="84" t="s">
        <v>69</v>
      </c>
      <c r="D430" s="84" t="s">
        <v>70</v>
      </c>
      <c r="E430" s="278">
        <f>E432</f>
        <v>0</v>
      </c>
      <c r="F430" s="278">
        <f>F432</f>
        <v>0</v>
      </c>
      <c r="G430" s="279"/>
      <c r="H430" s="278"/>
      <c r="I430" s="278">
        <f>I432</f>
        <v>0</v>
      </c>
      <c r="J430" s="278">
        <f>J432</f>
        <v>0</v>
      </c>
      <c r="K430" s="88"/>
      <c r="L430" s="280"/>
      <c r="M430" s="281"/>
      <c r="N430" s="282">
        <f>N432</f>
        <v>0</v>
      </c>
      <c r="O430" s="282">
        <f t="shared" ref="O430:Q431" si="547">O432</f>
        <v>0</v>
      </c>
      <c r="P430" s="282">
        <f t="shared" si="547"/>
        <v>0</v>
      </c>
      <c r="Q430" s="282">
        <f t="shared" si="547"/>
        <v>0</v>
      </c>
      <c r="R430" s="88"/>
      <c r="S430" s="278"/>
      <c r="T430" s="278">
        <f t="shared" ref="T430:U431" si="548">T432</f>
        <v>0</v>
      </c>
      <c r="U430" s="278">
        <f t="shared" si="548"/>
        <v>0</v>
      </c>
      <c r="V430" s="278"/>
      <c r="W430" s="278">
        <f t="shared" ref="W430:X431" si="549">W432</f>
        <v>0</v>
      </c>
      <c r="X430" s="278">
        <f t="shared" si="549"/>
        <v>0</v>
      </c>
      <c r="Y430" s="278"/>
      <c r="Z430" s="278">
        <f t="shared" ref="Z430:BL431" si="550">Z432</f>
        <v>0</v>
      </c>
      <c r="AA430" s="278">
        <f t="shared" si="550"/>
        <v>0</v>
      </c>
      <c r="AB430" s="278"/>
      <c r="AC430" s="278">
        <f t="shared" si="550"/>
        <v>0</v>
      </c>
      <c r="AD430" s="278">
        <f t="shared" si="550"/>
        <v>0</v>
      </c>
      <c r="AE430" s="278"/>
      <c r="AF430" s="278">
        <f t="shared" si="550"/>
        <v>0</v>
      </c>
      <c r="AG430" s="278">
        <f t="shared" si="550"/>
        <v>0</v>
      </c>
      <c r="AH430" s="278"/>
      <c r="AI430" s="278">
        <f t="shared" si="550"/>
        <v>0</v>
      </c>
      <c r="AJ430" s="278">
        <f t="shared" si="550"/>
        <v>0</v>
      </c>
      <c r="AK430" s="278"/>
      <c r="AL430" s="278">
        <f t="shared" si="550"/>
        <v>0</v>
      </c>
      <c r="AM430" s="278">
        <f t="shared" si="550"/>
        <v>0</v>
      </c>
      <c r="AN430" s="278">
        <f t="shared" si="550"/>
        <v>0</v>
      </c>
      <c r="AO430" s="278">
        <f t="shared" si="550"/>
        <v>0</v>
      </c>
      <c r="AP430" s="278">
        <f t="shared" si="550"/>
        <v>0</v>
      </c>
      <c r="AQ430" s="278">
        <f t="shared" si="550"/>
        <v>0</v>
      </c>
      <c r="AR430" s="283" t="str">
        <f t="shared" si="512"/>
        <v/>
      </c>
      <c r="AS430" s="284">
        <f t="shared" si="550"/>
        <v>0</v>
      </c>
      <c r="AT430" s="284">
        <f t="shared" si="550"/>
        <v>0</v>
      </c>
      <c r="AU430" s="284">
        <f t="shared" si="550"/>
        <v>0</v>
      </c>
      <c r="AV430" s="278">
        <f t="shared" si="550"/>
        <v>0</v>
      </c>
      <c r="AW430" s="278">
        <f t="shared" si="550"/>
        <v>0</v>
      </c>
      <c r="AX430" s="278">
        <f t="shared" si="550"/>
        <v>0</v>
      </c>
      <c r="AY430" s="278">
        <f t="shared" si="550"/>
        <v>0</v>
      </c>
      <c r="AZ430" s="278">
        <f t="shared" si="550"/>
        <v>0</v>
      </c>
      <c r="BA430" s="278">
        <f t="shared" si="550"/>
        <v>0</v>
      </c>
      <c r="BB430" s="278">
        <f t="shared" si="550"/>
        <v>0</v>
      </c>
      <c r="BC430" s="278">
        <f t="shared" si="550"/>
        <v>0</v>
      </c>
      <c r="BD430" s="278">
        <f t="shared" si="550"/>
        <v>0</v>
      </c>
      <c r="BE430" s="278">
        <f t="shared" si="550"/>
        <v>0</v>
      </c>
      <c r="BF430" s="278">
        <f t="shared" si="550"/>
        <v>0</v>
      </c>
      <c r="BG430" s="278">
        <f t="shared" si="550"/>
        <v>0</v>
      </c>
      <c r="BH430" s="278">
        <f t="shared" si="550"/>
        <v>0</v>
      </c>
      <c r="BI430" s="278">
        <f t="shared" si="550"/>
        <v>0</v>
      </c>
      <c r="BJ430" s="278">
        <f t="shared" si="550"/>
        <v>0</v>
      </c>
      <c r="BK430" s="278">
        <f t="shared" si="550"/>
        <v>0</v>
      </c>
      <c r="BL430" s="278">
        <f t="shared" si="550"/>
        <v>0</v>
      </c>
      <c r="BM430" s="283"/>
      <c r="BN430" s="283">
        <f t="shared" ref="BN430:BQ431" si="551">BN432</f>
        <v>0</v>
      </c>
      <c r="BO430" s="278">
        <f t="shared" si="551"/>
        <v>0</v>
      </c>
      <c r="BP430" s="278">
        <f t="shared" si="551"/>
        <v>0</v>
      </c>
      <c r="BQ430" s="278">
        <f t="shared" si="551"/>
        <v>0</v>
      </c>
      <c r="BR430" s="283"/>
      <c r="BS430" s="283"/>
      <c r="BT430" s="96"/>
      <c r="BW430" s="100"/>
      <c r="BX430" s="101"/>
    </row>
    <row r="431" spans="1:76" s="97" customFormat="1" ht="41.25" hidden="1" customHeight="1" outlineLevel="1" x14ac:dyDescent="0.25">
      <c r="A431" s="350"/>
      <c r="B431" s="352"/>
      <c r="C431" s="304" t="s">
        <v>71</v>
      </c>
      <c r="D431" s="304" t="s">
        <v>73</v>
      </c>
      <c r="E431" s="305">
        <f>E433</f>
        <v>0</v>
      </c>
      <c r="F431" s="305">
        <f>F433</f>
        <v>0</v>
      </c>
      <c r="G431" s="306"/>
      <c r="H431" s="305"/>
      <c r="I431" s="305">
        <f>I433</f>
        <v>0</v>
      </c>
      <c r="J431" s="305">
        <f>J433</f>
        <v>0</v>
      </c>
      <c r="K431" s="307"/>
      <c r="L431" s="308"/>
      <c r="M431" s="309"/>
      <c r="N431" s="310">
        <f>N433</f>
        <v>0</v>
      </c>
      <c r="O431" s="310">
        <f t="shared" si="547"/>
        <v>0</v>
      </c>
      <c r="P431" s="310">
        <f t="shared" si="547"/>
        <v>0</v>
      </c>
      <c r="Q431" s="310">
        <f t="shared" si="547"/>
        <v>0</v>
      </c>
      <c r="R431" s="307"/>
      <c r="S431" s="305"/>
      <c r="T431" s="305">
        <f t="shared" si="548"/>
        <v>0</v>
      </c>
      <c r="U431" s="305">
        <f t="shared" si="548"/>
        <v>0</v>
      </c>
      <c r="V431" s="305"/>
      <c r="W431" s="305">
        <f t="shared" si="549"/>
        <v>0</v>
      </c>
      <c r="X431" s="305">
        <f t="shared" si="549"/>
        <v>0</v>
      </c>
      <c r="Y431" s="305"/>
      <c r="Z431" s="305">
        <f t="shared" si="550"/>
        <v>0</v>
      </c>
      <c r="AA431" s="305">
        <f t="shared" si="550"/>
        <v>0</v>
      </c>
      <c r="AB431" s="305"/>
      <c r="AC431" s="305">
        <f t="shared" si="550"/>
        <v>0</v>
      </c>
      <c r="AD431" s="305">
        <f t="shared" si="550"/>
        <v>0</v>
      </c>
      <c r="AE431" s="305"/>
      <c r="AF431" s="305">
        <f t="shared" si="550"/>
        <v>0</v>
      </c>
      <c r="AG431" s="305">
        <f t="shared" si="550"/>
        <v>0</v>
      </c>
      <c r="AH431" s="305"/>
      <c r="AI431" s="305">
        <f t="shared" si="550"/>
        <v>0</v>
      </c>
      <c r="AJ431" s="305">
        <f t="shared" si="550"/>
        <v>0</v>
      </c>
      <c r="AK431" s="305"/>
      <c r="AL431" s="305">
        <f t="shared" si="550"/>
        <v>0</v>
      </c>
      <c r="AM431" s="305">
        <f t="shared" si="550"/>
        <v>0</v>
      </c>
      <c r="AN431" s="305">
        <f t="shared" si="550"/>
        <v>0</v>
      </c>
      <c r="AO431" s="305">
        <f t="shared" si="550"/>
        <v>0</v>
      </c>
      <c r="AP431" s="305">
        <f t="shared" si="550"/>
        <v>0</v>
      </c>
      <c r="AQ431" s="305">
        <f t="shared" si="550"/>
        <v>0</v>
      </c>
      <c r="AR431" s="283" t="str">
        <f t="shared" si="512"/>
        <v/>
      </c>
      <c r="AS431" s="311">
        <f t="shared" si="550"/>
        <v>0</v>
      </c>
      <c r="AT431" s="311">
        <f t="shared" si="550"/>
        <v>0</v>
      </c>
      <c r="AU431" s="311">
        <f t="shared" si="550"/>
        <v>0</v>
      </c>
      <c r="AV431" s="305">
        <f t="shared" si="550"/>
        <v>0</v>
      </c>
      <c r="AW431" s="305">
        <f t="shared" si="550"/>
        <v>0</v>
      </c>
      <c r="AX431" s="305">
        <f t="shared" si="550"/>
        <v>0</v>
      </c>
      <c r="AY431" s="305">
        <f t="shared" si="550"/>
        <v>0</v>
      </c>
      <c r="AZ431" s="305">
        <f t="shared" si="550"/>
        <v>0</v>
      </c>
      <c r="BA431" s="305">
        <f t="shared" si="550"/>
        <v>0</v>
      </c>
      <c r="BB431" s="305">
        <f t="shared" si="550"/>
        <v>0</v>
      </c>
      <c r="BC431" s="305">
        <f t="shared" si="550"/>
        <v>0</v>
      </c>
      <c r="BD431" s="305">
        <f t="shared" si="550"/>
        <v>0</v>
      </c>
      <c r="BE431" s="305">
        <f t="shared" si="550"/>
        <v>0</v>
      </c>
      <c r="BF431" s="305">
        <f t="shared" si="550"/>
        <v>0</v>
      </c>
      <c r="BG431" s="305">
        <f t="shared" si="550"/>
        <v>0</v>
      </c>
      <c r="BH431" s="305">
        <f t="shared" si="550"/>
        <v>0</v>
      </c>
      <c r="BI431" s="305">
        <f t="shared" si="550"/>
        <v>0</v>
      </c>
      <c r="BJ431" s="305">
        <f t="shared" si="550"/>
        <v>0</v>
      </c>
      <c r="BK431" s="305">
        <f t="shared" si="550"/>
        <v>0</v>
      </c>
      <c r="BL431" s="305">
        <f t="shared" si="550"/>
        <v>0</v>
      </c>
      <c r="BM431" s="312"/>
      <c r="BN431" s="312">
        <f t="shared" si="551"/>
        <v>0</v>
      </c>
      <c r="BO431" s="305">
        <f t="shared" si="551"/>
        <v>0</v>
      </c>
      <c r="BP431" s="305">
        <f t="shared" si="551"/>
        <v>0</v>
      </c>
      <c r="BQ431" s="305">
        <f t="shared" si="551"/>
        <v>0</v>
      </c>
      <c r="BR431" s="312"/>
      <c r="BS431" s="312"/>
      <c r="BT431" s="313"/>
      <c r="BW431" s="314"/>
      <c r="BX431" s="315"/>
    </row>
    <row r="432" spans="1:76" s="97" customFormat="1" ht="21" hidden="1" customHeight="1" outlineLevel="1" x14ac:dyDescent="0.25">
      <c r="A432" s="100"/>
      <c r="B432" s="353" t="s">
        <v>206</v>
      </c>
      <c r="C432" s="117" t="s">
        <v>69</v>
      </c>
      <c r="D432" s="117" t="s">
        <v>70</v>
      </c>
      <c r="E432" s="119"/>
      <c r="F432" s="119">
        <f>E432*1.12</f>
        <v>0</v>
      </c>
      <c r="G432" s="355">
        <v>1818</v>
      </c>
      <c r="H432" s="316"/>
      <c r="I432" s="119"/>
      <c r="J432" s="119">
        <f>I432*1.12</f>
        <v>0</v>
      </c>
      <c r="K432" s="317"/>
      <c r="L432" s="117"/>
      <c r="M432" s="318"/>
      <c r="N432" s="120">
        <f>P432</f>
        <v>0</v>
      </c>
      <c r="O432" s="120">
        <f>N432*1.12</f>
        <v>0</v>
      </c>
      <c r="P432" s="120"/>
      <c r="Q432" s="120">
        <f>P432*1.12</f>
        <v>0</v>
      </c>
      <c r="R432" s="319"/>
      <c r="S432" s="316"/>
      <c r="T432" s="37"/>
      <c r="U432" s="37">
        <f t="shared" ref="U432:U433" si="552">T432*1.12</f>
        <v>0</v>
      </c>
      <c r="V432" s="37"/>
      <c r="W432" s="37"/>
      <c r="X432" s="37">
        <f t="shared" ref="X432:X433" si="553">W432*1.12</f>
        <v>0</v>
      </c>
      <c r="Y432" s="320"/>
      <c r="Z432" s="119"/>
      <c r="AA432" s="119">
        <f>Z432*1.12</f>
        <v>0</v>
      </c>
      <c r="AB432" s="320"/>
      <c r="AC432" s="119"/>
      <c r="AD432" s="119">
        <f>AC432*1.12</f>
        <v>0</v>
      </c>
      <c r="AE432" s="320"/>
      <c r="AF432" s="119">
        <f t="shared" ref="AF432:AG433" si="554">Z432+AC432+W432+T432</f>
        <v>0</v>
      </c>
      <c r="AG432" s="119">
        <f t="shared" si="554"/>
        <v>0</v>
      </c>
      <c r="AH432" s="320"/>
      <c r="AI432" s="119"/>
      <c r="AJ432" s="119">
        <f>AI432*1.12</f>
        <v>0</v>
      </c>
      <c r="AK432" s="320"/>
      <c r="AL432" s="119"/>
      <c r="AM432" s="118">
        <f>AL432*1.12</f>
        <v>0</v>
      </c>
      <c r="AN432" s="320"/>
      <c r="AO432" s="118">
        <f t="shared" ref="AO432:AP433" si="555">AL432-AI432</f>
        <v>0</v>
      </c>
      <c r="AP432" s="118">
        <f t="shared" si="555"/>
        <v>0</v>
      </c>
      <c r="AQ432" s="118"/>
      <c r="AR432" s="121" t="str">
        <f t="shared" si="512"/>
        <v/>
      </c>
      <c r="AS432" s="122"/>
      <c r="AT432" s="122"/>
      <c r="AU432" s="122"/>
      <c r="AV432" s="118"/>
      <c r="AW432" s="118">
        <f>AV432*1.12</f>
        <v>0</v>
      </c>
      <c r="AX432" s="118"/>
      <c r="AY432" s="118"/>
      <c r="AZ432" s="118"/>
      <c r="BA432" s="118"/>
      <c r="BB432" s="118"/>
      <c r="BC432" s="118"/>
      <c r="BD432" s="118"/>
      <c r="BE432" s="118"/>
      <c r="BF432" s="118"/>
      <c r="BG432" s="118"/>
      <c r="BH432" s="118"/>
      <c r="BI432" s="118"/>
      <c r="BJ432" s="118"/>
      <c r="BK432" s="118"/>
      <c r="BL432" s="118">
        <f>AL432-AI432</f>
        <v>0</v>
      </c>
      <c r="BM432" s="357" t="s">
        <v>205</v>
      </c>
      <c r="BN432" s="100"/>
      <c r="BO432" s="100"/>
      <c r="BP432" s="100"/>
      <c r="BQ432" s="100"/>
      <c r="BR432" s="100"/>
      <c r="BS432" s="100"/>
      <c r="BT432" s="100"/>
      <c r="BW432" s="100"/>
      <c r="BX432" s="101"/>
    </row>
    <row r="433" spans="1:76" ht="21" hidden="1" customHeight="1" outlineLevel="1" x14ac:dyDescent="0.25">
      <c r="A433" s="25"/>
      <c r="B433" s="354"/>
      <c r="C433" s="124" t="s">
        <v>71</v>
      </c>
      <c r="D433" s="124" t="s">
        <v>73</v>
      </c>
      <c r="E433" s="126">
        <f>E432</f>
        <v>0</v>
      </c>
      <c r="F433" s="126">
        <f>E433*1.12</f>
        <v>0</v>
      </c>
      <c r="G433" s="356"/>
      <c r="H433" s="303"/>
      <c r="I433" s="126">
        <f>I432</f>
        <v>0</v>
      </c>
      <c r="J433" s="126">
        <f>I433*1.12</f>
        <v>0</v>
      </c>
      <c r="K433" s="321"/>
      <c r="L433" s="124"/>
      <c r="M433" s="32"/>
      <c r="N433" s="120">
        <f>P433</f>
        <v>0</v>
      </c>
      <c r="O433" s="127">
        <f>O432</f>
        <v>0</v>
      </c>
      <c r="P433" s="127"/>
      <c r="Q433" s="127">
        <f>P433*1.12</f>
        <v>0</v>
      </c>
      <c r="R433" s="322"/>
      <c r="S433" s="303"/>
      <c r="T433" s="37"/>
      <c r="U433" s="37">
        <f t="shared" si="552"/>
        <v>0</v>
      </c>
      <c r="V433" s="37"/>
      <c r="W433" s="37"/>
      <c r="X433" s="37">
        <f t="shared" si="553"/>
        <v>0</v>
      </c>
      <c r="Y433" s="301"/>
      <c r="Z433" s="126"/>
      <c r="AA433" s="126">
        <f>Z433*1.12</f>
        <v>0</v>
      </c>
      <c r="AB433" s="301"/>
      <c r="AC433" s="126"/>
      <c r="AD433" s="126">
        <f>AC433*1.12</f>
        <v>0</v>
      </c>
      <c r="AE433" s="301"/>
      <c r="AF433" s="126">
        <f t="shared" si="554"/>
        <v>0</v>
      </c>
      <c r="AG433" s="126">
        <f t="shared" si="554"/>
        <v>0</v>
      </c>
      <c r="AH433" s="301"/>
      <c r="AI433" s="126"/>
      <c r="AJ433" s="126">
        <f>AI433*1.12</f>
        <v>0</v>
      </c>
      <c r="AK433" s="301"/>
      <c r="AL433" s="126"/>
      <c r="AM433" s="125">
        <f>AL433*1.12</f>
        <v>0</v>
      </c>
      <c r="AN433" s="301"/>
      <c r="AO433" s="125">
        <f t="shared" si="555"/>
        <v>0</v>
      </c>
      <c r="AP433" s="125">
        <f t="shared" si="555"/>
        <v>0</v>
      </c>
      <c r="AQ433" s="125"/>
      <c r="AR433" s="121" t="str">
        <f t="shared" si="512"/>
        <v/>
      </c>
      <c r="AS433" s="129"/>
      <c r="AT433" s="129"/>
      <c r="AU433" s="129"/>
      <c r="AV433" s="125">
        <f>AV432</f>
        <v>0</v>
      </c>
      <c r="AW433" s="125">
        <f>AV433*1.12</f>
        <v>0</v>
      </c>
      <c r="AX433" s="125"/>
      <c r="AY433" s="125"/>
      <c r="AZ433" s="125"/>
      <c r="BA433" s="125"/>
      <c r="BB433" s="125"/>
      <c r="BC433" s="125"/>
      <c r="BD433" s="125"/>
      <c r="BE433" s="125"/>
      <c r="BF433" s="125"/>
      <c r="BG433" s="125"/>
      <c r="BH433" s="125"/>
      <c r="BI433" s="125"/>
      <c r="BJ433" s="125"/>
      <c r="BK433" s="125"/>
      <c r="BL433" s="125"/>
      <c r="BM433" s="358"/>
      <c r="BN433" s="25"/>
      <c r="BO433" s="25"/>
      <c r="BP433" s="25"/>
      <c r="BQ433" s="25"/>
      <c r="BR433" s="25"/>
      <c r="BS433" s="25"/>
      <c r="BT433" s="25"/>
      <c r="BW433" s="25"/>
      <c r="BX433" s="26"/>
    </row>
    <row r="434" spans="1:76" ht="15" hidden="1" collapsed="1" x14ac:dyDescent="0.25"/>
    <row r="435" spans="1:76" ht="15" x14ac:dyDescent="0.25">
      <c r="A435" s="323"/>
      <c r="B435" s="324"/>
      <c r="C435" s="324"/>
      <c r="D435" s="324"/>
      <c r="E435" s="325"/>
      <c r="F435" s="325"/>
      <c r="G435" s="326"/>
      <c r="H435" s="327"/>
    </row>
    <row r="438" spans="1:76" ht="15" outlineLevel="1" x14ac:dyDescent="0.25"/>
    <row r="439" spans="1:76" ht="15" outlineLevel="1" x14ac:dyDescent="0.25"/>
    <row r="440" spans="1:76" ht="28.5" customHeight="1" outlineLevel="1" x14ac:dyDescent="0.3">
      <c r="E440" s="328" t="s">
        <v>207</v>
      </c>
      <c r="R440" s="329"/>
      <c r="T440" s="329"/>
      <c r="U440" s="330"/>
      <c r="V440" s="331"/>
      <c r="W440" s="331"/>
      <c r="X440" s="331"/>
      <c r="Y440" s="331"/>
      <c r="Z440" s="332"/>
      <c r="AA440" s="332"/>
      <c r="AB440" s="332"/>
      <c r="AC440" s="332"/>
      <c r="AD440" s="332"/>
      <c r="AE440" s="332"/>
      <c r="AF440" s="332"/>
      <c r="AG440" s="331" t="s">
        <v>208</v>
      </c>
      <c r="AH440" s="332"/>
      <c r="AI440" s="332"/>
      <c r="AK440" s="332"/>
      <c r="AL440" s="333"/>
      <c r="AM440" s="332"/>
      <c r="AN440" s="332"/>
      <c r="AO440" s="332"/>
      <c r="AP440" s="334"/>
      <c r="AQ440" s="335"/>
      <c r="AR440" s="333"/>
      <c r="AS440" s="7"/>
      <c r="AT440" s="336"/>
      <c r="AU440" s="336"/>
      <c r="AV440" s="337"/>
      <c r="AY440" s="9"/>
      <c r="AZ440" s="9"/>
      <c r="BA440" s="9"/>
      <c r="BB440" s="9"/>
      <c r="BC440" s="9"/>
      <c r="BD440" s="9"/>
      <c r="BE440" s="9"/>
      <c r="BF440" s="9"/>
      <c r="BG440" s="9"/>
      <c r="BH440" s="9"/>
      <c r="BI440" s="9"/>
      <c r="BJ440" s="9"/>
      <c r="BK440" s="9"/>
      <c r="BL440" s="9"/>
    </row>
    <row r="441" spans="1:76" ht="22.5" x14ac:dyDescent="0.3">
      <c r="E441" s="328"/>
      <c r="R441" s="329"/>
      <c r="T441" s="329"/>
      <c r="U441" s="330"/>
      <c r="V441" s="331"/>
      <c r="W441" s="331"/>
      <c r="X441" s="331"/>
      <c r="Y441" s="331"/>
      <c r="Z441" s="332"/>
      <c r="AA441" s="332"/>
      <c r="AB441" s="332"/>
      <c r="AC441" s="332"/>
      <c r="AD441" s="332"/>
      <c r="AE441" s="332"/>
      <c r="AF441" s="332"/>
      <c r="AG441" s="331"/>
      <c r="AH441" s="332"/>
      <c r="AI441" s="332"/>
      <c r="AK441" s="332"/>
      <c r="AL441" s="333"/>
      <c r="AM441" s="332"/>
      <c r="AN441" s="332"/>
      <c r="AO441" s="332"/>
      <c r="AP441" s="334"/>
      <c r="AQ441" s="335"/>
      <c r="AR441" s="333"/>
      <c r="AS441" s="7"/>
      <c r="AT441" s="336"/>
      <c r="AU441" s="336"/>
      <c r="AV441" s="337"/>
      <c r="AY441" s="9"/>
      <c r="AZ441" s="9"/>
      <c r="BA441" s="9"/>
      <c r="BB441" s="9"/>
      <c r="BC441" s="9"/>
      <c r="BD441" s="9"/>
      <c r="BE441" s="9"/>
      <c r="BF441" s="9"/>
      <c r="BG441" s="9"/>
      <c r="BH441" s="9"/>
      <c r="BI441" s="9"/>
      <c r="BJ441" s="9"/>
      <c r="BK441" s="9"/>
      <c r="BL441" s="9"/>
    </row>
    <row r="442" spans="1:76" ht="22.5" outlineLevel="1" x14ac:dyDescent="0.3">
      <c r="E442" s="328" t="s">
        <v>209</v>
      </c>
      <c r="R442" s="329"/>
      <c r="T442" s="329"/>
      <c r="U442" s="330"/>
      <c r="V442" s="331"/>
      <c r="W442" s="331"/>
      <c r="X442" s="331"/>
      <c r="Y442" s="331"/>
      <c r="Z442" s="332"/>
      <c r="AA442" s="332"/>
      <c r="AB442" s="332"/>
      <c r="AC442" s="332"/>
      <c r="AD442" s="332"/>
      <c r="AE442" s="332"/>
      <c r="AF442" s="332"/>
      <c r="AG442" s="331" t="s">
        <v>210</v>
      </c>
      <c r="AH442" s="332"/>
      <c r="AI442" s="332"/>
      <c r="AK442" s="332"/>
      <c r="AL442" s="333"/>
      <c r="AM442" s="332"/>
      <c r="AN442" s="332"/>
      <c r="AO442" s="332"/>
      <c r="AP442" s="334"/>
      <c r="AQ442" s="335"/>
      <c r="AR442" s="333"/>
      <c r="AS442" s="7"/>
      <c r="AT442" s="336"/>
      <c r="AU442" s="336"/>
      <c r="AV442" s="337"/>
      <c r="AY442" s="9"/>
      <c r="AZ442" s="9"/>
      <c r="BA442" s="9"/>
      <c r="BB442" s="9"/>
      <c r="BC442" s="9"/>
      <c r="BD442" s="9"/>
      <c r="BE442" s="9"/>
      <c r="BF442" s="9"/>
      <c r="BG442" s="9"/>
      <c r="BH442" s="9"/>
      <c r="BI442" s="9"/>
      <c r="BJ442" s="9"/>
      <c r="BK442" s="9"/>
      <c r="BL442" s="9"/>
    </row>
    <row r="443" spans="1:76" ht="22.5" x14ac:dyDescent="0.3">
      <c r="E443" s="338"/>
      <c r="T443" s="331"/>
      <c r="U443" s="331"/>
      <c r="V443" s="331"/>
      <c r="W443" s="331"/>
      <c r="X443" s="331"/>
      <c r="Y443" s="331"/>
      <c r="Z443" s="332"/>
      <c r="AA443" s="332"/>
      <c r="AB443" s="332"/>
      <c r="AC443" s="332"/>
      <c r="AD443" s="332"/>
      <c r="AE443" s="332"/>
      <c r="AF443" s="332"/>
      <c r="AG443" s="332"/>
      <c r="AH443" s="332"/>
      <c r="AI443" s="332"/>
      <c r="AK443" s="332"/>
      <c r="AL443" s="333"/>
      <c r="AM443" s="332"/>
      <c r="AN443" s="332"/>
      <c r="AO443" s="332"/>
      <c r="AP443" s="334"/>
      <c r="AQ443" s="335"/>
      <c r="AR443" s="333"/>
      <c r="AS443" s="7"/>
      <c r="AT443" s="336"/>
      <c r="AU443" s="336"/>
      <c r="AV443" s="337"/>
      <c r="AW443" s="329"/>
      <c r="AX443" s="331"/>
      <c r="AY443" s="9"/>
      <c r="AZ443" s="9"/>
      <c r="BA443" s="9"/>
      <c r="BB443" s="9"/>
      <c r="BC443" s="9"/>
      <c r="BD443" s="9"/>
      <c r="BE443" s="9"/>
      <c r="BF443" s="9"/>
      <c r="BG443" s="9"/>
      <c r="BH443" s="9"/>
      <c r="BI443" s="9"/>
      <c r="BJ443" s="9"/>
      <c r="BK443" s="9"/>
      <c r="BL443" s="9"/>
    </row>
    <row r="444" spans="1:76" s="13" customFormat="1" ht="22.5" x14ac:dyDescent="0.3">
      <c r="D444" s="339"/>
      <c r="E444" s="340" t="s">
        <v>211</v>
      </c>
      <c r="H444" s="341"/>
      <c r="K444" s="342"/>
      <c r="S444" s="341"/>
      <c r="T444" s="343"/>
      <c r="U444" s="343"/>
      <c r="V444" s="343"/>
      <c r="W444" s="343"/>
      <c r="X444" s="343"/>
      <c r="Y444" s="343"/>
      <c r="Z444" s="343"/>
      <c r="AA444" s="343"/>
      <c r="AB444" s="343"/>
      <c r="AC444" s="343"/>
      <c r="AD444" s="343"/>
      <c r="AE444" s="343"/>
      <c r="AF444" s="343"/>
      <c r="AG444" s="343"/>
      <c r="AH444" s="343"/>
      <c r="AI444" s="343"/>
      <c r="AK444" s="343"/>
      <c r="AL444" s="344"/>
      <c r="AM444" s="343"/>
      <c r="AN444" s="343"/>
      <c r="AO444" s="343"/>
      <c r="AP444" s="345"/>
      <c r="AQ444" s="339"/>
      <c r="AR444" s="344"/>
      <c r="AS444" s="346"/>
      <c r="AT444" s="346"/>
      <c r="AU444" s="346"/>
      <c r="AV444" s="337"/>
      <c r="AW444" s="347"/>
      <c r="AX444" s="343"/>
      <c r="AY444" s="348"/>
      <c r="AZ444" s="348"/>
      <c r="BA444" s="348"/>
      <c r="BB444" s="348"/>
      <c r="BC444" s="348"/>
      <c r="BD444" s="348"/>
      <c r="BE444" s="348"/>
      <c r="BF444" s="348"/>
      <c r="BG444" s="348"/>
      <c r="BH444" s="348"/>
      <c r="BI444" s="348"/>
      <c r="BJ444" s="348"/>
      <c r="BK444" s="348"/>
      <c r="BL444" s="348"/>
      <c r="BX444" s="12"/>
    </row>
    <row r="445" spans="1:76" ht="15" x14ac:dyDescent="0.25">
      <c r="AL445" s="3">
        <f>AL378+AL381+AL384+AL387+AL390+AL393-AI378</f>
        <v>-8979519</v>
      </c>
      <c r="AO445" s="9">
        <f>AO378+AO381+AO384+AO387+AO390+AO393</f>
        <v>-7693344.1628571432</v>
      </c>
      <c r="AY445" s="5">
        <f>SUM(AY378:BL395)</f>
        <v>-7693344.1628571432</v>
      </c>
    </row>
  </sheetData>
  <autoFilter ref="A8:BT344" xr:uid="{00000000-0009-0000-0000-00000F000000}"/>
  <mergeCells count="896">
    <mergeCell ref="E2:S2"/>
    <mergeCell ref="A4:A7"/>
    <mergeCell ref="B4:B7"/>
    <mergeCell ref="C4:C7"/>
    <mergeCell ref="D4:D7"/>
    <mergeCell ref="E4:J4"/>
    <mergeCell ref="K4:S4"/>
    <mergeCell ref="R5:R7"/>
    <mergeCell ref="S5:S7"/>
    <mergeCell ref="BR4:BS4"/>
    <mergeCell ref="BT4:BT7"/>
    <mergeCell ref="E5:F6"/>
    <mergeCell ref="G5:G7"/>
    <mergeCell ref="H5:H7"/>
    <mergeCell ref="I5:J6"/>
    <mergeCell ref="K5:K7"/>
    <mergeCell ref="L5:L7"/>
    <mergeCell ref="M5:M7"/>
    <mergeCell ref="N5:Q5"/>
    <mergeCell ref="T4:AH4"/>
    <mergeCell ref="AI4:AR4"/>
    <mergeCell ref="AS4:AU5"/>
    <mergeCell ref="AV4:AX5"/>
    <mergeCell ref="AY4:BL4"/>
    <mergeCell ref="BO4:BQ4"/>
    <mergeCell ref="T5:V5"/>
    <mergeCell ref="W5:Y5"/>
    <mergeCell ref="Z5:AB5"/>
    <mergeCell ref="AC5:AE5"/>
    <mergeCell ref="BC5:BC6"/>
    <mergeCell ref="BD5:BD6"/>
    <mergeCell ref="BE5:BE6"/>
    <mergeCell ref="BF5:BF6"/>
    <mergeCell ref="AF5:AH5"/>
    <mergeCell ref="AI5:AK5"/>
    <mergeCell ref="AL5:AN5"/>
    <mergeCell ref="AO5:AR5"/>
    <mergeCell ref="AY5:AY6"/>
    <mergeCell ref="AZ5:AZ6"/>
    <mergeCell ref="AN6:AN7"/>
    <mergeCell ref="AO6:AP6"/>
    <mergeCell ref="AQ6:AQ7"/>
    <mergeCell ref="AR6:AR7"/>
    <mergeCell ref="BS5:BS7"/>
    <mergeCell ref="N6:O6"/>
    <mergeCell ref="P6:Q6"/>
    <mergeCell ref="T6:U6"/>
    <mergeCell ref="V6:V7"/>
    <mergeCell ref="W6:X6"/>
    <mergeCell ref="Y6:Y7"/>
    <mergeCell ref="Z6:AA6"/>
    <mergeCell ref="AB6:AB7"/>
    <mergeCell ref="AC6:AD6"/>
    <mergeCell ref="BM5:BM7"/>
    <mergeCell ref="BN5:BN7"/>
    <mergeCell ref="BO5:BO7"/>
    <mergeCell ref="BP5:BP7"/>
    <mergeCell ref="BQ5:BQ7"/>
    <mergeCell ref="BR5:BR7"/>
    <mergeCell ref="BG5:BG6"/>
    <mergeCell ref="BH5:BH6"/>
    <mergeCell ref="BI5:BI6"/>
    <mergeCell ref="BJ5:BJ6"/>
    <mergeCell ref="BK5:BK6"/>
    <mergeCell ref="BL5:BL6"/>
    <mergeCell ref="BA5:BA6"/>
    <mergeCell ref="BB5:BB6"/>
    <mergeCell ref="AU6:AU7"/>
    <mergeCell ref="AV6:AW6"/>
    <mergeCell ref="AX6:AX7"/>
    <mergeCell ref="A9:A12"/>
    <mergeCell ref="B9:B12"/>
    <mergeCell ref="C11:C12"/>
    <mergeCell ref="AE6:AE7"/>
    <mergeCell ref="AF6:AG6"/>
    <mergeCell ref="AH6:AH7"/>
    <mergeCell ref="AI6:AJ6"/>
    <mergeCell ref="AK6:AK7"/>
    <mergeCell ref="AL6:AM6"/>
    <mergeCell ref="A13:A16"/>
    <mergeCell ref="B13:B16"/>
    <mergeCell ref="C15:C16"/>
    <mergeCell ref="A17:A19"/>
    <mergeCell ref="B17:B19"/>
    <mergeCell ref="A20:A22"/>
    <mergeCell ref="B20:B22"/>
    <mergeCell ref="AS6:AS7"/>
    <mergeCell ref="AT6:AT7"/>
    <mergeCell ref="S20:S22"/>
    <mergeCell ref="A24:A26"/>
    <mergeCell ref="B24:B26"/>
    <mergeCell ref="A27:A41"/>
    <mergeCell ref="B27:B41"/>
    <mergeCell ref="G27:G29"/>
    <mergeCell ref="H27:H29"/>
    <mergeCell ref="K27:K29"/>
    <mergeCell ref="L27:L29"/>
    <mergeCell ref="M27:M29"/>
    <mergeCell ref="G20:G22"/>
    <mergeCell ref="H20:H22"/>
    <mergeCell ref="K20:K22"/>
    <mergeCell ref="L20:L22"/>
    <mergeCell ref="M20:M22"/>
    <mergeCell ref="R20:R22"/>
    <mergeCell ref="R27:R29"/>
    <mergeCell ref="S27:S29"/>
    <mergeCell ref="BM27:BM29"/>
    <mergeCell ref="G30:G32"/>
    <mergeCell ref="H30:H32"/>
    <mergeCell ref="K30:K32"/>
    <mergeCell ref="L30:L32"/>
    <mergeCell ref="M30:M32"/>
    <mergeCell ref="R30:R32"/>
    <mergeCell ref="S30:S32"/>
    <mergeCell ref="BM30:BM32"/>
    <mergeCell ref="G33:G35"/>
    <mergeCell ref="H33:H35"/>
    <mergeCell ref="K33:K35"/>
    <mergeCell ref="L33:L35"/>
    <mergeCell ref="M33:M35"/>
    <mergeCell ref="R33:R35"/>
    <mergeCell ref="S33:S35"/>
    <mergeCell ref="BM33:BM35"/>
    <mergeCell ref="S36:S38"/>
    <mergeCell ref="BM36:BM38"/>
    <mergeCell ref="G39:G41"/>
    <mergeCell ref="H39:H41"/>
    <mergeCell ref="K39:K41"/>
    <mergeCell ref="L39:L41"/>
    <mergeCell ref="M39:M41"/>
    <mergeCell ref="R39:R41"/>
    <mergeCell ref="S39:S41"/>
    <mergeCell ref="BM39:BM41"/>
    <mergeCell ref="G36:G38"/>
    <mergeCell ref="H36:H38"/>
    <mergeCell ref="K36:K38"/>
    <mergeCell ref="L36:L38"/>
    <mergeCell ref="M36:M38"/>
    <mergeCell ref="R36:R38"/>
    <mergeCell ref="A42:A83"/>
    <mergeCell ref="B42:B83"/>
    <mergeCell ref="G42:G44"/>
    <mergeCell ref="H42:H44"/>
    <mergeCell ref="K42:K56"/>
    <mergeCell ref="L42:L44"/>
    <mergeCell ref="H48:H50"/>
    <mergeCell ref="L48:L50"/>
    <mergeCell ref="G54:G56"/>
    <mergeCell ref="H54:H56"/>
    <mergeCell ref="S48:S50"/>
    <mergeCell ref="BM48:BM50"/>
    <mergeCell ref="G51:G53"/>
    <mergeCell ref="H51:H53"/>
    <mergeCell ref="L51:L53"/>
    <mergeCell ref="S51:S53"/>
    <mergeCell ref="BM51:BM53"/>
    <mergeCell ref="M42:M44"/>
    <mergeCell ref="R42:R56"/>
    <mergeCell ref="S42:S44"/>
    <mergeCell ref="BM42:BM44"/>
    <mergeCell ref="G45:G47"/>
    <mergeCell ref="H45:H47"/>
    <mergeCell ref="L45:L47"/>
    <mergeCell ref="S45:S47"/>
    <mergeCell ref="BM45:BM47"/>
    <mergeCell ref="G48:G50"/>
    <mergeCell ref="L54:L56"/>
    <mergeCell ref="S54:S56"/>
    <mergeCell ref="BM54:BM56"/>
    <mergeCell ref="G57:G59"/>
    <mergeCell ref="H57:H59"/>
    <mergeCell ref="K57:K83"/>
    <mergeCell ref="L57:L59"/>
    <mergeCell ref="M57:M59"/>
    <mergeCell ref="R57:R83"/>
    <mergeCell ref="S57:S59"/>
    <mergeCell ref="G63:G65"/>
    <mergeCell ref="H63:H65"/>
    <mergeCell ref="L63:L65"/>
    <mergeCell ref="M63:M65"/>
    <mergeCell ref="S63:S65"/>
    <mergeCell ref="BM63:BM65"/>
    <mergeCell ref="BM57:BM59"/>
    <mergeCell ref="G60:G62"/>
    <mergeCell ref="H60:H62"/>
    <mergeCell ref="L60:L62"/>
    <mergeCell ref="M60:M62"/>
    <mergeCell ref="S60:S62"/>
    <mergeCell ref="BM60:BM62"/>
    <mergeCell ref="G69:G71"/>
    <mergeCell ref="H69:H71"/>
    <mergeCell ref="L69:L71"/>
    <mergeCell ref="M69:M71"/>
    <mergeCell ref="S69:S71"/>
    <mergeCell ref="BM69:BM71"/>
    <mergeCell ref="G66:G68"/>
    <mergeCell ref="H66:H68"/>
    <mergeCell ref="L66:L68"/>
    <mergeCell ref="M66:M68"/>
    <mergeCell ref="S66:S68"/>
    <mergeCell ref="BM66:BM68"/>
    <mergeCell ref="G75:G77"/>
    <mergeCell ref="H75:H77"/>
    <mergeCell ref="L75:L77"/>
    <mergeCell ref="M75:M77"/>
    <mergeCell ref="S75:S77"/>
    <mergeCell ref="BM75:BM77"/>
    <mergeCell ref="G72:G74"/>
    <mergeCell ref="H72:H74"/>
    <mergeCell ref="L72:L74"/>
    <mergeCell ref="M72:M74"/>
    <mergeCell ref="S72:S74"/>
    <mergeCell ref="BM72:BM74"/>
    <mergeCell ref="G81:G83"/>
    <mergeCell ref="H81:H83"/>
    <mergeCell ref="L81:L83"/>
    <mergeCell ref="M81:M83"/>
    <mergeCell ref="S81:S83"/>
    <mergeCell ref="BM81:BM83"/>
    <mergeCell ref="G78:G80"/>
    <mergeCell ref="H78:H80"/>
    <mergeCell ref="L78:L80"/>
    <mergeCell ref="M78:M80"/>
    <mergeCell ref="S78:S80"/>
    <mergeCell ref="BM78:BM80"/>
    <mergeCell ref="M84:M86"/>
    <mergeCell ref="R84:R86"/>
    <mergeCell ref="S84:S86"/>
    <mergeCell ref="BM84:BM86"/>
    <mergeCell ref="K87:K89"/>
    <mergeCell ref="L87:L89"/>
    <mergeCell ref="M87:M89"/>
    <mergeCell ref="R87:R89"/>
    <mergeCell ref="S87:S89"/>
    <mergeCell ref="BM87:BM89"/>
    <mergeCell ref="K84:K86"/>
    <mergeCell ref="L84:L86"/>
    <mergeCell ref="M90:M92"/>
    <mergeCell ref="R90:R92"/>
    <mergeCell ref="S90:S92"/>
    <mergeCell ref="BM90:BM92"/>
    <mergeCell ref="K93:K95"/>
    <mergeCell ref="L93:L98"/>
    <mergeCell ref="M93:M95"/>
    <mergeCell ref="R93:R98"/>
    <mergeCell ref="S93:S95"/>
    <mergeCell ref="BM93:BM95"/>
    <mergeCell ref="K90:K92"/>
    <mergeCell ref="L90:L92"/>
    <mergeCell ref="K96:K98"/>
    <mergeCell ref="R99:R101"/>
    <mergeCell ref="S99:S101"/>
    <mergeCell ref="BM99:BM101"/>
    <mergeCell ref="A103:A106"/>
    <mergeCell ref="B103:B106"/>
    <mergeCell ref="C105:C106"/>
    <mergeCell ref="M96:M98"/>
    <mergeCell ref="S96:S98"/>
    <mergeCell ref="BM96:BM98"/>
    <mergeCell ref="A99:A101"/>
    <mergeCell ref="B99:B101"/>
    <mergeCell ref="G99:G101"/>
    <mergeCell ref="H99:H101"/>
    <mergeCell ref="K99:K101"/>
    <mergeCell ref="L99:L101"/>
    <mergeCell ref="M99:M101"/>
    <mergeCell ref="A84:A98"/>
    <mergeCell ref="B84:B98"/>
    <mergeCell ref="G84:G86"/>
    <mergeCell ref="H84:H86"/>
    <mergeCell ref="M107:M109"/>
    <mergeCell ref="R107:R109"/>
    <mergeCell ref="S107:S109"/>
    <mergeCell ref="BM107:BM109"/>
    <mergeCell ref="A110:A112"/>
    <mergeCell ref="B110:B112"/>
    <mergeCell ref="G110:G112"/>
    <mergeCell ref="H110:H112"/>
    <mergeCell ref="K110:K112"/>
    <mergeCell ref="L110:L112"/>
    <mergeCell ref="A107:A109"/>
    <mergeCell ref="B107:B109"/>
    <mergeCell ref="G107:G109"/>
    <mergeCell ref="H107:H109"/>
    <mergeCell ref="K107:K109"/>
    <mergeCell ref="L107:L109"/>
    <mergeCell ref="M110:M112"/>
    <mergeCell ref="R110:R112"/>
    <mergeCell ref="S110:S112"/>
    <mergeCell ref="BM110:BM112"/>
    <mergeCell ref="A113:A115"/>
    <mergeCell ref="B113:B115"/>
    <mergeCell ref="G113:G115"/>
    <mergeCell ref="H113:H115"/>
    <mergeCell ref="K113:K115"/>
    <mergeCell ref="L113:L115"/>
    <mergeCell ref="M116:M118"/>
    <mergeCell ref="R116:R118"/>
    <mergeCell ref="S116:S118"/>
    <mergeCell ref="BM116:BM118"/>
    <mergeCell ref="A119:A121"/>
    <mergeCell ref="B119:B121"/>
    <mergeCell ref="BM119:BM121"/>
    <mergeCell ref="M113:M115"/>
    <mergeCell ref="R113:R115"/>
    <mergeCell ref="S113:S115"/>
    <mergeCell ref="BM113:BM115"/>
    <mergeCell ref="A116:A118"/>
    <mergeCell ref="B116:B118"/>
    <mergeCell ref="G116:G118"/>
    <mergeCell ref="H116:H118"/>
    <mergeCell ref="K116:K118"/>
    <mergeCell ref="L116:L118"/>
    <mergeCell ref="R124:R126"/>
    <mergeCell ref="S124:S126"/>
    <mergeCell ref="A127:A152"/>
    <mergeCell ref="B127:B152"/>
    <mergeCell ref="K127:L128"/>
    <mergeCell ref="M127:M128"/>
    <mergeCell ref="S127:S128"/>
    <mergeCell ref="G129:G152"/>
    <mergeCell ref="H129:H152"/>
    <mergeCell ref="K129:K131"/>
    <mergeCell ref="A122:A126"/>
    <mergeCell ref="B122:B126"/>
    <mergeCell ref="K122:L123"/>
    <mergeCell ref="M122:M123"/>
    <mergeCell ref="S122:S123"/>
    <mergeCell ref="G124:G126"/>
    <mergeCell ref="H124:H126"/>
    <mergeCell ref="K124:K126"/>
    <mergeCell ref="L124:L126"/>
    <mergeCell ref="M124:M126"/>
    <mergeCell ref="M135:M137"/>
    <mergeCell ref="S135:S137"/>
    <mergeCell ref="K138:K140"/>
    <mergeCell ref="L138:L140"/>
    <mergeCell ref="M138:M140"/>
    <mergeCell ref="R138:R140"/>
    <mergeCell ref="S138:S140"/>
    <mergeCell ref="L129:L131"/>
    <mergeCell ref="M129:M131"/>
    <mergeCell ref="R129:R137"/>
    <mergeCell ref="S129:S131"/>
    <mergeCell ref="K132:K134"/>
    <mergeCell ref="L132:L134"/>
    <mergeCell ref="M132:M134"/>
    <mergeCell ref="S132:S134"/>
    <mergeCell ref="K135:K137"/>
    <mergeCell ref="L135:L137"/>
    <mergeCell ref="K141:K143"/>
    <mergeCell ref="L141:L143"/>
    <mergeCell ref="M141:M143"/>
    <mergeCell ref="R141:R143"/>
    <mergeCell ref="S141:S143"/>
    <mergeCell ref="K144:K146"/>
    <mergeCell ref="L144:L146"/>
    <mergeCell ref="M144:M146"/>
    <mergeCell ref="R144:R146"/>
    <mergeCell ref="S144:S146"/>
    <mergeCell ref="K147:K149"/>
    <mergeCell ref="L147:L149"/>
    <mergeCell ref="M147:M149"/>
    <mergeCell ref="R147:R149"/>
    <mergeCell ref="S147:S149"/>
    <mergeCell ref="K150:K152"/>
    <mergeCell ref="L150:L152"/>
    <mergeCell ref="M150:M152"/>
    <mergeCell ref="R150:R152"/>
    <mergeCell ref="S150:S152"/>
    <mergeCell ref="A153:A175"/>
    <mergeCell ref="B153:B175"/>
    <mergeCell ref="K153:L154"/>
    <mergeCell ref="M153:M154"/>
    <mergeCell ref="S153:S154"/>
    <mergeCell ref="G155:G175"/>
    <mergeCell ref="H155:H175"/>
    <mergeCell ref="K155:K157"/>
    <mergeCell ref="L155:L157"/>
    <mergeCell ref="M155:M157"/>
    <mergeCell ref="R155:R163"/>
    <mergeCell ref="S155:S157"/>
    <mergeCell ref="K158:K160"/>
    <mergeCell ref="L158:L160"/>
    <mergeCell ref="M158:M160"/>
    <mergeCell ref="S158:S160"/>
    <mergeCell ref="K161:K163"/>
    <mergeCell ref="L161:L163"/>
    <mergeCell ref="M161:M163"/>
    <mergeCell ref="S161:S163"/>
    <mergeCell ref="K164:K166"/>
    <mergeCell ref="L164:L166"/>
    <mergeCell ref="M164:M166"/>
    <mergeCell ref="R164:R166"/>
    <mergeCell ref="S164:S166"/>
    <mergeCell ref="K167:K169"/>
    <mergeCell ref="L167:L169"/>
    <mergeCell ref="M167:M169"/>
    <mergeCell ref="R167:R169"/>
    <mergeCell ref="S167:S169"/>
    <mergeCell ref="K170:K172"/>
    <mergeCell ref="L170:L172"/>
    <mergeCell ref="M170:M172"/>
    <mergeCell ref="R170:R172"/>
    <mergeCell ref="S170:S172"/>
    <mergeCell ref="K173:K175"/>
    <mergeCell ref="L173:L175"/>
    <mergeCell ref="M173:M175"/>
    <mergeCell ref="R173:R175"/>
    <mergeCell ref="S173:S175"/>
    <mergeCell ref="R178:R183"/>
    <mergeCell ref="S178:S180"/>
    <mergeCell ref="K181:K183"/>
    <mergeCell ref="L181:L183"/>
    <mergeCell ref="M181:M183"/>
    <mergeCell ref="S181:S183"/>
    <mergeCell ref="A176:A195"/>
    <mergeCell ref="B176:B195"/>
    <mergeCell ref="K176:L177"/>
    <mergeCell ref="M176:M177"/>
    <mergeCell ref="S176:S177"/>
    <mergeCell ref="G178:G195"/>
    <mergeCell ref="H178:H195"/>
    <mergeCell ref="K178:K180"/>
    <mergeCell ref="L178:L180"/>
    <mergeCell ref="M178:M180"/>
    <mergeCell ref="K184:K186"/>
    <mergeCell ref="L184:L186"/>
    <mergeCell ref="M184:M186"/>
    <mergeCell ref="R184:R186"/>
    <mergeCell ref="S184:S186"/>
    <mergeCell ref="K187:K189"/>
    <mergeCell ref="L187:L189"/>
    <mergeCell ref="M187:M189"/>
    <mergeCell ref="R187:R189"/>
    <mergeCell ref="S187:S189"/>
    <mergeCell ref="K190:K192"/>
    <mergeCell ref="L190:L192"/>
    <mergeCell ref="M190:M192"/>
    <mergeCell ref="R190:R192"/>
    <mergeCell ref="S190:S192"/>
    <mergeCell ref="K193:K195"/>
    <mergeCell ref="L193:L195"/>
    <mergeCell ref="M193:M195"/>
    <mergeCell ref="R193:R195"/>
    <mergeCell ref="S193:S195"/>
    <mergeCell ref="R198:R200"/>
    <mergeCell ref="S198:S200"/>
    <mergeCell ref="K201:K203"/>
    <mergeCell ref="L201:L203"/>
    <mergeCell ref="M201:M203"/>
    <mergeCell ref="R201:R203"/>
    <mergeCell ref="S201:S203"/>
    <mergeCell ref="A196:A203"/>
    <mergeCell ref="B196:B203"/>
    <mergeCell ref="K196:L197"/>
    <mergeCell ref="M196:M197"/>
    <mergeCell ref="S196:S197"/>
    <mergeCell ref="G198:G203"/>
    <mergeCell ref="H198:H203"/>
    <mergeCell ref="K198:K200"/>
    <mergeCell ref="L198:L200"/>
    <mergeCell ref="M198:M200"/>
    <mergeCell ref="R206:R208"/>
    <mergeCell ref="S206:S208"/>
    <mergeCell ref="K209:K211"/>
    <mergeCell ref="L209:L211"/>
    <mergeCell ref="M209:M211"/>
    <mergeCell ref="R209:R211"/>
    <mergeCell ref="S209:S211"/>
    <mergeCell ref="A204:A232"/>
    <mergeCell ref="B204:B232"/>
    <mergeCell ref="K204:L205"/>
    <mergeCell ref="M204:M205"/>
    <mergeCell ref="S204:S205"/>
    <mergeCell ref="G206:G232"/>
    <mergeCell ref="H206:H232"/>
    <mergeCell ref="K206:K208"/>
    <mergeCell ref="L206:L208"/>
    <mergeCell ref="M206:M208"/>
    <mergeCell ref="K212:K214"/>
    <mergeCell ref="L212:L214"/>
    <mergeCell ref="M212:M214"/>
    <mergeCell ref="R212:R214"/>
    <mergeCell ref="S212:S214"/>
    <mergeCell ref="K215:K217"/>
    <mergeCell ref="L215:L217"/>
    <mergeCell ref="M215:M217"/>
    <mergeCell ref="R215:R217"/>
    <mergeCell ref="S215:S217"/>
    <mergeCell ref="K218:K220"/>
    <mergeCell ref="L218:L220"/>
    <mergeCell ref="M218:M220"/>
    <mergeCell ref="R218:R220"/>
    <mergeCell ref="S218:S220"/>
    <mergeCell ref="K221:K223"/>
    <mergeCell ref="L221:L223"/>
    <mergeCell ref="M221:M223"/>
    <mergeCell ref="R221:R223"/>
    <mergeCell ref="S221:S223"/>
    <mergeCell ref="K224:K226"/>
    <mergeCell ref="L224:L226"/>
    <mergeCell ref="M224:M226"/>
    <mergeCell ref="R224:R226"/>
    <mergeCell ref="S224:S226"/>
    <mergeCell ref="K227:K229"/>
    <mergeCell ref="L227:L229"/>
    <mergeCell ref="M227:M229"/>
    <mergeCell ref="R227:R229"/>
    <mergeCell ref="S227:S229"/>
    <mergeCell ref="K230:K232"/>
    <mergeCell ref="L230:L232"/>
    <mergeCell ref="M230:M232"/>
    <mergeCell ref="R230:R232"/>
    <mergeCell ref="S230:S232"/>
    <mergeCell ref="A233:A240"/>
    <mergeCell ref="B233:B240"/>
    <mergeCell ref="K233:L234"/>
    <mergeCell ref="M233:M234"/>
    <mergeCell ref="S233:S234"/>
    <mergeCell ref="S235:S237"/>
    <mergeCell ref="K238:K240"/>
    <mergeCell ref="L238:L240"/>
    <mergeCell ref="M238:M240"/>
    <mergeCell ref="R238:R240"/>
    <mergeCell ref="S238:S240"/>
    <mergeCell ref="G235:G240"/>
    <mergeCell ref="H235:H240"/>
    <mergeCell ref="K235:K237"/>
    <mergeCell ref="L235:L237"/>
    <mergeCell ref="M235:M237"/>
    <mergeCell ref="R235:R237"/>
    <mergeCell ref="R243:R245"/>
    <mergeCell ref="S243:S245"/>
    <mergeCell ref="K246:K248"/>
    <mergeCell ref="L246:L248"/>
    <mergeCell ref="M246:M248"/>
    <mergeCell ref="R246:R248"/>
    <mergeCell ref="S246:S248"/>
    <mergeCell ref="A241:A260"/>
    <mergeCell ref="B241:B260"/>
    <mergeCell ref="K241:L242"/>
    <mergeCell ref="M241:M242"/>
    <mergeCell ref="S241:S242"/>
    <mergeCell ref="G243:G260"/>
    <mergeCell ref="H243:H260"/>
    <mergeCell ref="K243:K245"/>
    <mergeCell ref="L243:L245"/>
    <mergeCell ref="M243:M245"/>
    <mergeCell ref="K249:K251"/>
    <mergeCell ref="L249:L251"/>
    <mergeCell ref="M249:M251"/>
    <mergeCell ref="R249:R251"/>
    <mergeCell ref="S249:S251"/>
    <mergeCell ref="K252:K254"/>
    <mergeCell ref="L252:L254"/>
    <mergeCell ref="M252:M254"/>
    <mergeCell ref="R252:R254"/>
    <mergeCell ref="S252:S254"/>
    <mergeCell ref="K255:K257"/>
    <mergeCell ref="L255:L257"/>
    <mergeCell ref="M255:M257"/>
    <mergeCell ref="R255:R257"/>
    <mergeCell ref="S255:S257"/>
    <mergeCell ref="K258:K260"/>
    <mergeCell ref="L258:L260"/>
    <mergeCell ref="M258:M260"/>
    <mergeCell ref="R258:R260"/>
    <mergeCell ref="S258:S260"/>
    <mergeCell ref="R263:R265"/>
    <mergeCell ref="S263:S265"/>
    <mergeCell ref="K266:K268"/>
    <mergeCell ref="L266:L268"/>
    <mergeCell ref="M266:M268"/>
    <mergeCell ref="R266:R268"/>
    <mergeCell ref="S266:S268"/>
    <mergeCell ref="A261:A280"/>
    <mergeCell ref="B261:B280"/>
    <mergeCell ref="K261:L262"/>
    <mergeCell ref="M261:M262"/>
    <mergeCell ref="S261:S262"/>
    <mergeCell ref="G263:G280"/>
    <mergeCell ref="H263:H280"/>
    <mergeCell ref="K263:K265"/>
    <mergeCell ref="L263:L265"/>
    <mergeCell ref="M263:M265"/>
    <mergeCell ref="K269:K271"/>
    <mergeCell ref="L269:L271"/>
    <mergeCell ref="M269:M271"/>
    <mergeCell ref="R269:R271"/>
    <mergeCell ref="S269:S271"/>
    <mergeCell ref="K272:K274"/>
    <mergeCell ref="L272:L274"/>
    <mergeCell ref="M272:M274"/>
    <mergeCell ref="R272:R274"/>
    <mergeCell ref="S272:S274"/>
    <mergeCell ref="K275:K277"/>
    <mergeCell ref="L275:L277"/>
    <mergeCell ref="M275:M277"/>
    <mergeCell ref="R275:R277"/>
    <mergeCell ref="S275:S277"/>
    <mergeCell ref="K278:K280"/>
    <mergeCell ref="L278:L280"/>
    <mergeCell ref="M278:M280"/>
    <mergeCell ref="R278:R280"/>
    <mergeCell ref="S278:S280"/>
    <mergeCell ref="R283:R285"/>
    <mergeCell ref="S283:S285"/>
    <mergeCell ref="K286:K288"/>
    <mergeCell ref="L286:L288"/>
    <mergeCell ref="M286:M288"/>
    <mergeCell ref="R286:R288"/>
    <mergeCell ref="S286:S288"/>
    <mergeCell ref="A281:A291"/>
    <mergeCell ref="B281:B291"/>
    <mergeCell ref="K281:L282"/>
    <mergeCell ref="M281:M282"/>
    <mergeCell ref="S281:S282"/>
    <mergeCell ref="G283:G291"/>
    <mergeCell ref="H283:H291"/>
    <mergeCell ref="K283:K285"/>
    <mergeCell ref="L283:L285"/>
    <mergeCell ref="M283:M285"/>
    <mergeCell ref="K289:K291"/>
    <mergeCell ref="L289:L291"/>
    <mergeCell ref="M289:M291"/>
    <mergeCell ref="R289:R291"/>
    <mergeCell ref="S289:S291"/>
    <mergeCell ref="A292:A302"/>
    <mergeCell ref="B292:B302"/>
    <mergeCell ref="K292:L293"/>
    <mergeCell ref="M292:M293"/>
    <mergeCell ref="S292:S293"/>
    <mergeCell ref="S294:S296"/>
    <mergeCell ref="K297:K299"/>
    <mergeCell ref="L297:L299"/>
    <mergeCell ref="M297:M299"/>
    <mergeCell ref="R297:R299"/>
    <mergeCell ref="S297:S299"/>
    <mergeCell ref="G294:G302"/>
    <mergeCell ref="H294:H302"/>
    <mergeCell ref="K294:K296"/>
    <mergeCell ref="L294:L296"/>
    <mergeCell ref="M294:M296"/>
    <mergeCell ref="R294:R296"/>
    <mergeCell ref="K300:K302"/>
    <mergeCell ref="L300:L302"/>
    <mergeCell ref="M300:M302"/>
    <mergeCell ref="R300:R302"/>
    <mergeCell ref="M305:M307"/>
    <mergeCell ref="R305:R307"/>
    <mergeCell ref="S305:S307"/>
    <mergeCell ref="K308:K310"/>
    <mergeCell ref="L308:L310"/>
    <mergeCell ref="M308:M310"/>
    <mergeCell ref="R308:R310"/>
    <mergeCell ref="S308:S310"/>
    <mergeCell ref="S300:S302"/>
    <mergeCell ref="K303:L304"/>
    <mergeCell ref="M303:M304"/>
    <mergeCell ref="S303:S304"/>
    <mergeCell ref="K305:K307"/>
    <mergeCell ref="L305:L307"/>
    <mergeCell ref="K311:K313"/>
    <mergeCell ref="L311:L313"/>
    <mergeCell ref="M311:M313"/>
    <mergeCell ref="R311:R313"/>
    <mergeCell ref="S311:S313"/>
    <mergeCell ref="K314:K316"/>
    <mergeCell ref="L314:L316"/>
    <mergeCell ref="M314:M316"/>
    <mergeCell ref="R314:R316"/>
    <mergeCell ref="S314:S316"/>
    <mergeCell ref="K317:K319"/>
    <mergeCell ref="L317:L319"/>
    <mergeCell ref="M317:M319"/>
    <mergeCell ref="R317:R319"/>
    <mergeCell ref="S317:S319"/>
    <mergeCell ref="A320:A342"/>
    <mergeCell ref="B320:B342"/>
    <mergeCell ref="K320:L321"/>
    <mergeCell ref="M320:M321"/>
    <mergeCell ref="S320:S321"/>
    <mergeCell ref="A303:A319"/>
    <mergeCell ref="B303:B319"/>
    <mergeCell ref="G305:G319"/>
    <mergeCell ref="H305:H319"/>
    <mergeCell ref="G322:G342"/>
    <mergeCell ref="H322:H342"/>
    <mergeCell ref="K322:K324"/>
    <mergeCell ref="L322:L324"/>
    <mergeCell ref="M322:M324"/>
    <mergeCell ref="R322:R324"/>
    <mergeCell ref="K328:K330"/>
    <mergeCell ref="L328:L330"/>
    <mergeCell ref="M328:M330"/>
    <mergeCell ref="R328:R330"/>
    <mergeCell ref="S328:S330"/>
    <mergeCell ref="K331:K333"/>
    <mergeCell ref="L331:L333"/>
    <mergeCell ref="M331:M333"/>
    <mergeCell ref="R331:R333"/>
    <mergeCell ref="S331:S333"/>
    <mergeCell ref="S322:S324"/>
    <mergeCell ref="K325:K327"/>
    <mergeCell ref="L325:L327"/>
    <mergeCell ref="M325:M327"/>
    <mergeCell ref="R325:R327"/>
    <mergeCell ref="S325:S327"/>
    <mergeCell ref="K340:K342"/>
    <mergeCell ref="L340:L342"/>
    <mergeCell ref="M340:M342"/>
    <mergeCell ref="R340:R342"/>
    <mergeCell ref="S340:S342"/>
    <mergeCell ref="K343:L344"/>
    <mergeCell ref="M343:M344"/>
    <mergeCell ref="S343:S344"/>
    <mergeCell ref="K334:K336"/>
    <mergeCell ref="L334:L336"/>
    <mergeCell ref="M334:M336"/>
    <mergeCell ref="R334:R336"/>
    <mergeCell ref="S334:S336"/>
    <mergeCell ref="K337:K339"/>
    <mergeCell ref="L337:L339"/>
    <mergeCell ref="M337:M339"/>
    <mergeCell ref="R337:R339"/>
    <mergeCell ref="S337:S339"/>
    <mergeCell ref="M345:M347"/>
    <mergeCell ref="R345:R347"/>
    <mergeCell ref="S345:S347"/>
    <mergeCell ref="BW345:BW377"/>
    <mergeCell ref="BX345:BX377"/>
    <mergeCell ref="K348:K350"/>
    <mergeCell ref="L348:L350"/>
    <mergeCell ref="M348:M350"/>
    <mergeCell ref="R348:R350"/>
    <mergeCell ref="S348:S350"/>
    <mergeCell ref="K345:K347"/>
    <mergeCell ref="L345:L347"/>
    <mergeCell ref="K351:K353"/>
    <mergeCell ref="L351:L353"/>
    <mergeCell ref="K357:K359"/>
    <mergeCell ref="L357:L359"/>
    <mergeCell ref="M357:M359"/>
    <mergeCell ref="R357:R359"/>
    <mergeCell ref="S357:S359"/>
    <mergeCell ref="K360:K362"/>
    <mergeCell ref="L360:L362"/>
    <mergeCell ref="M360:M362"/>
    <mergeCell ref="R360:R362"/>
    <mergeCell ref="S360:S362"/>
    <mergeCell ref="M351:M353"/>
    <mergeCell ref="R351:R353"/>
    <mergeCell ref="S351:S353"/>
    <mergeCell ref="K354:K356"/>
    <mergeCell ref="L354:L356"/>
    <mergeCell ref="M354:M356"/>
    <mergeCell ref="R354:R356"/>
    <mergeCell ref="S354:S356"/>
    <mergeCell ref="S369:S371"/>
    <mergeCell ref="K372:K374"/>
    <mergeCell ref="L372:L374"/>
    <mergeCell ref="M372:M374"/>
    <mergeCell ref="R372:R374"/>
    <mergeCell ref="S372:S374"/>
    <mergeCell ref="K363:K365"/>
    <mergeCell ref="L363:L365"/>
    <mergeCell ref="M363:M365"/>
    <mergeCell ref="R363:R365"/>
    <mergeCell ref="S363:S365"/>
    <mergeCell ref="K366:K368"/>
    <mergeCell ref="L366:L368"/>
    <mergeCell ref="M366:M368"/>
    <mergeCell ref="R366:R368"/>
    <mergeCell ref="S366:S368"/>
    <mergeCell ref="A378:A410"/>
    <mergeCell ref="B378:B410"/>
    <mergeCell ref="G378:G410"/>
    <mergeCell ref="H378:H410"/>
    <mergeCell ref="K378:K380"/>
    <mergeCell ref="K369:K371"/>
    <mergeCell ref="L369:L371"/>
    <mergeCell ref="M369:M371"/>
    <mergeCell ref="R369:R371"/>
    <mergeCell ref="A345:A377"/>
    <mergeCell ref="B345:B377"/>
    <mergeCell ref="G345:G377"/>
    <mergeCell ref="H345:H377"/>
    <mergeCell ref="L378:L380"/>
    <mergeCell ref="M378:M380"/>
    <mergeCell ref="R378:R380"/>
    <mergeCell ref="S378:S380"/>
    <mergeCell ref="BW378:BW410"/>
    <mergeCell ref="BX378:BX410"/>
    <mergeCell ref="K375:K377"/>
    <mergeCell ref="L375:L377"/>
    <mergeCell ref="M375:M377"/>
    <mergeCell ref="R375:R377"/>
    <mergeCell ref="S375:S377"/>
    <mergeCell ref="K381:K383"/>
    <mergeCell ref="L381:L383"/>
    <mergeCell ref="M381:M383"/>
    <mergeCell ref="R381:R383"/>
    <mergeCell ref="S381:S383"/>
    <mergeCell ref="K384:K386"/>
    <mergeCell ref="L384:L386"/>
    <mergeCell ref="M384:M386"/>
    <mergeCell ref="R384:R386"/>
    <mergeCell ref="S384:S386"/>
    <mergeCell ref="K387:K389"/>
    <mergeCell ref="L387:L389"/>
    <mergeCell ref="M387:M389"/>
    <mergeCell ref="R387:R389"/>
    <mergeCell ref="S387:S389"/>
    <mergeCell ref="K390:K392"/>
    <mergeCell ref="L390:L392"/>
    <mergeCell ref="M390:M392"/>
    <mergeCell ref="R390:R392"/>
    <mergeCell ref="S390:S392"/>
    <mergeCell ref="K393:K395"/>
    <mergeCell ref="L393:L395"/>
    <mergeCell ref="M393:M395"/>
    <mergeCell ref="R393:R395"/>
    <mergeCell ref="S393:S395"/>
    <mergeCell ref="K396:K398"/>
    <mergeCell ref="L396:L398"/>
    <mergeCell ref="M396:M398"/>
    <mergeCell ref="R396:R398"/>
    <mergeCell ref="S396:S398"/>
    <mergeCell ref="K399:K401"/>
    <mergeCell ref="L399:L401"/>
    <mergeCell ref="M399:M401"/>
    <mergeCell ref="R399:R401"/>
    <mergeCell ref="S399:S401"/>
    <mergeCell ref="K402:K404"/>
    <mergeCell ref="L402:L404"/>
    <mergeCell ref="M402:M404"/>
    <mergeCell ref="R402:R404"/>
    <mergeCell ref="S402:S404"/>
    <mergeCell ref="K405:K407"/>
    <mergeCell ref="L405:L407"/>
    <mergeCell ref="M405:M407"/>
    <mergeCell ref="R405:R407"/>
    <mergeCell ref="S405:S407"/>
    <mergeCell ref="K408:K410"/>
    <mergeCell ref="L408:L410"/>
    <mergeCell ref="M408:M410"/>
    <mergeCell ref="R408:R410"/>
    <mergeCell ref="S408:S410"/>
    <mergeCell ref="K418:K419"/>
    <mergeCell ref="L418:L419"/>
    <mergeCell ref="M418:M419"/>
    <mergeCell ref="R418:R419"/>
    <mergeCell ref="S418:S419"/>
    <mergeCell ref="BM418:BM419"/>
    <mergeCell ref="A411:A413"/>
    <mergeCell ref="B411:B413"/>
    <mergeCell ref="A414:A415"/>
    <mergeCell ref="B414:B415"/>
    <mergeCell ref="A416:A429"/>
    <mergeCell ref="B416:B429"/>
    <mergeCell ref="K422:K423"/>
    <mergeCell ref="L422:L423"/>
    <mergeCell ref="M422:M423"/>
    <mergeCell ref="R422:R423"/>
    <mergeCell ref="S422:S423"/>
    <mergeCell ref="BM422:BM423"/>
    <mergeCell ref="K420:K421"/>
    <mergeCell ref="L420:L421"/>
    <mergeCell ref="M420:M421"/>
    <mergeCell ref="R420:R421"/>
    <mergeCell ref="S420:S421"/>
    <mergeCell ref="BM420:BM421"/>
    <mergeCell ref="K426:K427"/>
    <mergeCell ref="L426:L427"/>
    <mergeCell ref="M426:M427"/>
    <mergeCell ref="R426:R427"/>
    <mergeCell ref="S426:S427"/>
    <mergeCell ref="BM426:BM427"/>
    <mergeCell ref="K424:K425"/>
    <mergeCell ref="L424:L425"/>
    <mergeCell ref="M424:M425"/>
    <mergeCell ref="R424:R425"/>
    <mergeCell ref="S424:S425"/>
    <mergeCell ref="BM424:BM425"/>
    <mergeCell ref="A430:A431"/>
    <mergeCell ref="B430:B431"/>
    <mergeCell ref="B432:B433"/>
    <mergeCell ref="G432:G433"/>
    <mergeCell ref="BM432:BM433"/>
    <mergeCell ref="K428:K429"/>
    <mergeCell ref="L428:L429"/>
    <mergeCell ref="M428:M429"/>
    <mergeCell ref="R428:R429"/>
    <mergeCell ref="S428:S429"/>
    <mergeCell ref="BM428:BM429"/>
  </mergeCells>
  <pageMargins left="0.15748031496062992" right="0.15748031496062992" top="0.59055118110236227" bottom="0.11811023622047245" header="0.70866141732283472" footer="0.15748031496062992"/>
  <pageSetup paperSize="9" scale="50" fitToWidth="16" fitToHeight="2" orientation="landscape" r:id="rId1"/>
  <rowBreaks count="5" manualBreakCount="5">
    <brk id="175" max="64" man="1"/>
    <brk id="260" max="64" man="1"/>
    <brk id="342" max="64" man="1"/>
    <brk id="401" max="64" man="1"/>
    <brk id="444" max="64" man="1"/>
  </rowBreaks>
  <colBreaks count="1" manualBreakCount="1">
    <brk id="34" max="371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дек19 (факт)</vt:lpstr>
      <vt:lpstr>'дек19 (факт)'!Заголовки_для_печати</vt:lpstr>
      <vt:lpstr>'дек19 (факт)'!Область_печати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Асель М. Кузетова</dc:creator>
  <cp:lastModifiedBy>Асель М. Кузетова</cp:lastModifiedBy>
  <cp:lastPrinted>2020-01-28T02:35:33Z</cp:lastPrinted>
  <dcterms:created xsi:type="dcterms:W3CDTF">2020-01-28T02:34:31Z</dcterms:created>
  <dcterms:modified xsi:type="dcterms:W3CDTF">2020-01-28T02:38:18Z</dcterms:modified>
</cp:coreProperties>
</file>