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anyshbayev_zh\Desktop\"/>
    </mc:Choice>
  </mc:AlternateContent>
  <xr:revisionPtr revIDLastSave="0" documentId="8_{988CF463-69F0-451A-A918-3F5A854018DE}" xr6:coauthVersionLast="47" xr6:coauthVersionMax="47" xr10:uidLastSave="{00000000-0000-0000-0000-000000000000}"/>
  <bookViews>
    <workbookView xWindow="-110" yWindow="-110" windowWidth="19420" windowHeight="10420" xr2:uid="{1E74F679-0BB9-44F5-93B5-22296C0C7FF4}"/>
  </bookViews>
  <sheets>
    <sheet name="дек20 (факт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a">#REF!</definedName>
    <definedName name="\m">#REF!</definedName>
    <definedName name="\n">#REF!</definedName>
    <definedName name="\o">#REF!</definedName>
    <definedName name="__________SP1">[1]FES!#REF!</definedName>
    <definedName name="__________SP10">[1]FES!#REF!</definedName>
    <definedName name="__________SP11">[1]FES!#REF!</definedName>
    <definedName name="__________SP12">[1]FES!#REF!</definedName>
    <definedName name="__________SP13">[1]FES!#REF!</definedName>
    <definedName name="__________SP14">[1]FES!#REF!</definedName>
    <definedName name="__________SP15">[1]FES!#REF!</definedName>
    <definedName name="__________SP16">[1]FES!#REF!</definedName>
    <definedName name="__________SP17">[1]FES!#REF!</definedName>
    <definedName name="__________SP18">[1]FES!#REF!</definedName>
    <definedName name="__________SP19">[1]FES!#REF!</definedName>
    <definedName name="__________SP2">[1]FES!#REF!</definedName>
    <definedName name="__________SP20">[1]FES!#REF!</definedName>
    <definedName name="__________SP3">[1]FES!#REF!</definedName>
    <definedName name="__________SP4">[1]FES!#REF!</definedName>
    <definedName name="__________SP5">[1]FES!#REF!</definedName>
    <definedName name="__________SP7">[1]FES!#REF!</definedName>
    <definedName name="__________SP8">[1]FES!#REF!</definedName>
    <definedName name="__________SP9">[1]FES!#REF!</definedName>
    <definedName name="_________SP1">[2]FES!#REF!</definedName>
    <definedName name="_________SP10">[2]FES!#REF!</definedName>
    <definedName name="_________SP11">[2]FES!#REF!</definedName>
    <definedName name="_________SP12">[2]FES!#REF!</definedName>
    <definedName name="_________SP13">[2]FES!#REF!</definedName>
    <definedName name="_________SP14">[2]FES!#REF!</definedName>
    <definedName name="_________SP15">[2]FES!#REF!</definedName>
    <definedName name="_________SP16">[2]FES!#REF!</definedName>
    <definedName name="_________SP17">[2]FES!#REF!</definedName>
    <definedName name="_________SP18">[2]FES!#REF!</definedName>
    <definedName name="_________SP19">[2]FES!#REF!</definedName>
    <definedName name="_________SP2">[2]FES!#REF!</definedName>
    <definedName name="_________SP20">[2]FES!#REF!</definedName>
    <definedName name="_________SP3">[2]FES!#REF!</definedName>
    <definedName name="_________SP4">[2]FES!#REF!</definedName>
    <definedName name="_________SP5">[2]FES!#REF!</definedName>
    <definedName name="_________SP7">[2]FES!#REF!</definedName>
    <definedName name="_________SP8">[2]FES!#REF!</definedName>
    <definedName name="_________SP9">[2]FES!#REF!</definedName>
    <definedName name="________SP1">[3]FES!#REF!</definedName>
    <definedName name="________SP10">[3]FES!#REF!</definedName>
    <definedName name="________SP11">[3]FES!#REF!</definedName>
    <definedName name="________SP12">[3]FES!#REF!</definedName>
    <definedName name="________SP13">[3]FES!#REF!</definedName>
    <definedName name="________SP14">[3]FES!#REF!</definedName>
    <definedName name="________SP15">[3]FES!#REF!</definedName>
    <definedName name="________SP16">[3]FES!#REF!</definedName>
    <definedName name="________SP17">[3]FES!#REF!</definedName>
    <definedName name="________SP18">[3]FES!#REF!</definedName>
    <definedName name="________SP19">[3]FES!#REF!</definedName>
    <definedName name="________SP2">[3]FES!#REF!</definedName>
    <definedName name="________SP20">[3]FES!#REF!</definedName>
    <definedName name="________SP3">[3]FES!#REF!</definedName>
    <definedName name="________SP4">[3]FES!#REF!</definedName>
    <definedName name="________SP5">[3]FES!#REF!</definedName>
    <definedName name="________SP7">[3]FES!#REF!</definedName>
    <definedName name="________SP8">[3]FES!#REF!</definedName>
    <definedName name="________SP9">[3]FES!#REF!</definedName>
    <definedName name="_______SP1">[2]FES!#REF!</definedName>
    <definedName name="_______SP10">[2]FES!#REF!</definedName>
    <definedName name="_______SP11">[2]FES!#REF!</definedName>
    <definedName name="_______SP12">[2]FES!#REF!</definedName>
    <definedName name="_______SP13">[2]FES!#REF!</definedName>
    <definedName name="_______SP14">[2]FES!#REF!</definedName>
    <definedName name="_______SP15">[2]FES!#REF!</definedName>
    <definedName name="_______SP16">[2]FES!#REF!</definedName>
    <definedName name="_______SP17">[2]FES!#REF!</definedName>
    <definedName name="_______SP18">[2]FES!#REF!</definedName>
    <definedName name="_______SP19">[2]FES!#REF!</definedName>
    <definedName name="_______SP2">[2]FES!#REF!</definedName>
    <definedName name="_______SP20">[2]FES!#REF!</definedName>
    <definedName name="_______SP3">[2]FES!#REF!</definedName>
    <definedName name="_______SP4">[2]FES!#REF!</definedName>
    <definedName name="_______SP5">[2]FES!#REF!</definedName>
    <definedName name="_______SP7">[2]FES!#REF!</definedName>
    <definedName name="_______SP8">[2]FES!#REF!</definedName>
    <definedName name="_______SP9">[2]FES!#REF!</definedName>
    <definedName name="______SP1">[2]FES!#REF!</definedName>
    <definedName name="______SP10">[2]FES!#REF!</definedName>
    <definedName name="______SP11">[2]FES!#REF!</definedName>
    <definedName name="______SP12">[2]FES!#REF!</definedName>
    <definedName name="______SP13">[2]FES!#REF!</definedName>
    <definedName name="______SP14">[2]FES!#REF!</definedName>
    <definedName name="______SP15">[2]FES!#REF!</definedName>
    <definedName name="______SP16">[2]FES!#REF!</definedName>
    <definedName name="______SP17">[2]FES!#REF!</definedName>
    <definedName name="______SP18">[2]FES!#REF!</definedName>
    <definedName name="______SP19">[2]FES!#REF!</definedName>
    <definedName name="______SP2">[2]FES!#REF!</definedName>
    <definedName name="______SP20">[2]FES!#REF!</definedName>
    <definedName name="______SP3">[2]FES!#REF!</definedName>
    <definedName name="______SP4">[2]FES!#REF!</definedName>
    <definedName name="______SP5">[2]FES!#REF!</definedName>
    <definedName name="______SP7">[2]FES!#REF!</definedName>
    <definedName name="______SP8">[2]FES!#REF!</definedName>
    <definedName name="______SP9">[2]FES!#REF!</definedName>
    <definedName name="_____B650000">#REF!</definedName>
    <definedName name="_____SP1">[2]FES!#REF!</definedName>
    <definedName name="_____SP10">[2]FES!#REF!</definedName>
    <definedName name="_____SP11">[2]FES!#REF!</definedName>
    <definedName name="_____SP12">[2]FES!#REF!</definedName>
    <definedName name="_____SP13">[2]FES!#REF!</definedName>
    <definedName name="_____SP14">[2]FES!#REF!</definedName>
    <definedName name="_____SP15">[2]FES!#REF!</definedName>
    <definedName name="_____SP16">[2]FES!#REF!</definedName>
    <definedName name="_____SP17">[2]FES!#REF!</definedName>
    <definedName name="_____SP18">[2]FES!#REF!</definedName>
    <definedName name="_____SP19">[2]FES!#REF!</definedName>
    <definedName name="_____SP2">[2]FES!#REF!</definedName>
    <definedName name="_____SP20">[2]FES!#REF!</definedName>
    <definedName name="_____SP3">[2]FES!#REF!</definedName>
    <definedName name="_____SP4">[2]FES!#REF!</definedName>
    <definedName name="_____SP5">[2]FES!#REF!</definedName>
    <definedName name="_____SP7">[2]FES!#REF!</definedName>
    <definedName name="_____SP8">[2]FES!#REF!</definedName>
    <definedName name="_____SP9">[2]FES!#REF!</definedName>
    <definedName name="____B270000">#REF!</definedName>
    <definedName name="____B650000">#REF!</definedName>
    <definedName name="____DAT1">'[4]ЦХЛ 2004'!#REF!</definedName>
    <definedName name="____DAT2">'[4]ЦХЛ 2004'!#REF!</definedName>
    <definedName name="____DAT3">'[4]ЦХЛ 2004'!#REF!</definedName>
    <definedName name="____DAT4">'[4]ЦХЛ 2004'!#REF!</definedName>
    <definedName name="____DAT5">'[4]ЦХЛ 2004'!#REF!</definedName>
    <definedName name="____DAT7">#REF!</definedName>
    <definedName name="____DAT8">#REF!</definedName>
    <definedName name="____DAT9">#REF!</definedName>
    <definedName name="____SP1">[2]FES!#REF!</definedName>
    <definedName name="____SP10">[2]FES!#REF!</definedName>
    <definedName name="____SP11">[2]FES!#REF!</definedName>
    <definedName name="____SP12">[2]FES!#REF!</definedName>
    <definedName name="____SP13">[2]FES!#REF!</definedName>
    <definedName name="____SP14">[2]FES!#REF!</definedName>
    <definedName name="____SP15">[2]FES!#REF!</definedName>
    <definedName name="____SP16">[2]FES!#REF!</definedName>
    <definedName name="____SP17">[2]FES!#REF!</definedName>
    <definedName name="____SP18">[2]FES!#REF!</definedName>
    <definedName name="____SP19">[2]FES!#REF!</definedName>
    <definedName name="____SP2">[2]FES!#REF!</definedName>
    <definedName name="____SP20">[2]FES!#REF!</definedName>
    <definedName name="____SP3">[2]FES!#REF!</definedName>
    <definedName name="____SP4">[2]FES!#REF!</definedName>
    <definedName name="____SP5">[2]FES!#REF!</definedName>
    <definedName name="____SP7">[2]FES!#REF!</definedName>
    <definedName name="____SP8">[2]FES!#REF!</definedName>
    <definedName name="____SP9">[2]FES!#REF!</definedName>
    <definedName name="___B270000">#REF!</definedName>
    <definedName name="___B650000">#REF!</definedName>
    <definedName name="___DAT1">'[4]ЦХЛ 2004'!#REF!</definedName>
    <definedName name="___DAT2">'[4]ЦХЛ 2004'!#REF!</definedName>
    <definedName name="___DAT3">'[4]ЦХЛ 2004'!#REF!</definedName>
    <definedName name="___DAT4">'[4]ЦХЛ 2004'!#REF!</definedName>
    <definedName name="___DAT5">'[4]ЦХЛ 2004'!#REF!</definedName>
    <definedName name="___DAT6">#REF!</definedName>
    <definedName name="___DAT7">#REF!</definedName>
    <definedName name="___DAT8">#REF!</definedName>
    <definedName name="___DAT9">#REF!</definedName>
    <definedName name="___SP1">[5]FES!#REF!</definedName>
    <definedName name="___SP10">[5]FES!#REF!</definedName>
    <definedName name="___SP11">[5]FES!#REF!</definedName>
    <definedName name="___SP12">[5]FES!#REF!</definedName>
    <definedName name="___SP13">[5]FES!#REF!</definedName>
    <definedName name="___SP14">[5]FES!#REF!</definedName>
    <definedName name="___SP15">[5]FES!#REF!</definedName>
    <definedName name="___SP16">[5]FES!#REF!</definedName>
    <definedName name="___SP17">[5]FES!#REF!</definedName>
    <definedName name="___SP18">[5]FES!#REF!</definedName>
    <definedName name="___SP19">[5]FES!#REF!</definedName>
    <definedName name="___SP2">[5]FES!#REF!</definedName>
    <definedName name="___SP20">[5]FES!#REF!</definedName>
    <definedName name="___SP3">[5]FES!#REF!</definedName>
    <definedName name="___SP4">[5]FES!#REF!</definedName>
    <definedName name="___SP5">[5]FES!#REF!</definedName>
    <definedName name="___SP7">[5]FES!#REF!</definedName>
    <definedName name="___SP8">[5]FES!#REF!</definedName>
    <definedName name="___SP9">[5]FES!#REF!</definedName>
    <definedName name="__B270000">#REF!</definedName>
    <definedName name="__B650000">#REF!</definedName>
    <definedName name="__DAT6">#REF!</definedName>
    <definedName name="__DAT7">#REF!</definedName>
    <definedName name="__DAT8">#REF!</definedName>
    <definedName name="__DAT9">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a">#REF!</definedName>
    <definedName name="_a_13">#REF!</definedName>
    <definedName name="_a_16">#REF!</definedName>
    <definedName name="_a_18">#REF!</definedName>
    <definedName name="_B270000">#REF!</definedName>
    <definedName name="_B650000">#REF!</definedName>
    <definedName name="_DAT1">'[4]ЦХЛ 2004'!#REF!</definedName>
    <definedName name="_DAT2">'[4]ЦХЛ 2004'!#REF!</definedName>
    <definedName name="_DAT3">'[4]ЦХЛ 2004'!#REF!</definedName>
    <definedName name="_DAT4">'[4]ЦХЛ 2004'!#REF!</definedName>
    <definedName name="_DAT5">'[4]ЦХЛ 2004'!#REF!</definedName>
    <definedName name="_DAT6">#REF!</definedName>
    <definedName name="_DAT7">#REF!</definedName>
    <definedName name="_DAT8">#REF!</definedName>
    <definedName name="_DAT9">#REF!</definedName>
    <definedName name="_lp280202">#REF!</definedName>
    <definedName name="_m">#REF!</definedName>
    <definedName name="_m_13">#REF!</definedName>
    <definedName name="_m_16">#REF!</definedName>
    <definedName name="_m_18">#REF!</definedName>
    <definedName name="_m_list">[6]Dictionaries!$B$2:$B$13</definedName>
    <definedName name="_n">#REF!</definedName>
    <definedName name="_n_13">#REF!</definedName>
    <definedName name="_n_16">#REF!</definedName>
    <definedName name="_n_18">#REF!</definedName>
    <definedName name="_o">#REF!</definedName>
    <definedName name="_o_13">#REF!</definedName>
    <definedName name="_o_16">#REF!</definedName>
    <definedName name="_o_18">#REF!</definedName>
    <definedName name="_period">[7]Содержание!$D$4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_US1">#REF!</definedName>
    <definedName name="_year">[7]Содержание!$D$5</definedName>
    <definedName name="aaaa" hidden="1">{#N/A,#N/A,FALSE,"Сентябрь";#N/A,#N/A,FALSE,"Пояснительная сентябре 99"}</definedName>
    <definedName name="abc" hidden="1">{#N/A,#N/A,FALSE,"Aging Summary";#N/A,#N/A,FALSE,"Ratio Analysis";#N/A,#N/A,FALSE,"Test 120 Day Accts";#N/A,#N/A,FALSE,"Tickmarks"}</definedName>
    <definedName name="Account_Balance">#REF!</definedName>
    <definedName name="ANLAGE_III">[8]Anlagevermögen!$A$1:$Z$29</definedName>
    <definedName name="APL" hidden="1">{#N/A,#N/A,FALSE,"Aging Summary";#N/A,#N/A,FALSE,"Ratio Analysis";#N/A,#N/A,FALSE,"Test 120 Day Accts";#N/A,#N/A,FALSE,"Tickmarks"}</definedName>
    <definedName name="ARA_Threshold">#REF!</definedName>
    <definedName name="ARP_Threshold">#REF!</definedName>
    <definedName name="as" localSheetId="0">[9]!as</definedName>
    <definedName name="as">[9]!as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ssel">#REF!</definedName>
    <definedName name="aud_month">#REF!</definedName>
    <definedName name="aud_year">#REF!</definedName>
    <definedName name="B">'[10]д.7.001'!#REF!</definedName>
    <definedName name="B6500000">#REF!</definedName>
    <definedName name="Bal_Sheet">#REF!</definedName>
    <definedName name="Bal_Sheet1">#REF!</definedName>
    <definedName name="basic_level">'[11]Threshold Table'!$A$6:$C$11</definedName>
    <definedName name="b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bb" hidden="1">{#N/A,#N/A,FALSE,"МТВ"}</definedName>
    <definedName name="Beg_Bal">#REF!</definedName>
    <definedName name="BG_Del" hidden="1">15</definedName>
    <definedName name="BG_Ins" hidden="1">4</definedName>
    <definedName name="BG_Mod" hidden="1">6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cad_month">#REF!</definedName>
    <definedName name="cad_year">#REF!</definedName>
    <definedName name="Canada">#REF!</definedName>
    <definedName name="Canada1">#REF!</definedName>
    <definedName name="Canadian_Occidental_Petroleum_Ltd.">#REF!</definedName>
    <definedName name="cd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Operations">#REF!</definedName>
    <definedName name="CF_Operations1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Stmt">#REF!</definedName>
    <definedName name="CF_Stmt1">#REF!</definedName>
    <definedName name="CF_Taxation">#REF!</definedName>
    <definedName name="Chemicals">#REF!</definedName>
    <definedName name="Chemicals1">#REF!</definedName>
    <definedName name="chf_month">#REF!</definedName>
    <definedName name="chf_year">#REF!</definedName>
    <definedName name="cig">[12]Anlagevermögen!$A$1:$Z$29</definedName>
    <definedName name="cis">#REF!</definedName>
    <definedName name="ClDate">[13]Info!$G$6</definedName>
    <definedName name="CompOt" localSheetId="0">[9]!CompOt</definedName>
    <definedName name="CompOt">[9]!CompOt</definedName>
    <definedName name="CompOt_11">#N/A</definedName>
    <definedName name="CompOt_12">#N/A</definedName>
    <definedName name="CompOt_13">#N/A</definedName>
    <definedName name="CompOt_14">#N/A</definedName>
    <definedName name="CompOt_16">#N/A</definedName>
    <definedName name="CompOt_17">#N/A</definedName>
    <definedName name="CompOt_18">#N/A</definedName>
    <definedName name="CompOt_19">#N/A</definedName>
    <definedName name="CompRas" localSheetId="0">[9]!CompRas</definedName>
    <definedName name="CompRas">[9]!CompRas</definedName>
    <definedName name="CompRas_11">#N/A</definedName>
    <definedName name="CompRas_12">#N/A</definedName>
    <definedName name="CompRas_13">#N/A</definedName>
    <definedName name="CompRas_14">#N/A</definedName>
    <definedName name="CompRas_16">#N/A</definedName>
    <definedName name="CompRas_17">#N/A</definedName>
    <definedName name="CompRas_18">#N/A</definedName>
    <definedName name="CompRas_19">#N/A</definedName>
    <definedName name="compras1" localSheetId="0">[9]!compras1</definedName>
    <definedName name="compras1">[9]!compras1</definedName>
    <definedName name="country">[14]misc!$B$1</definedName>
    <definedName name="crude">#REF!</definedName>
    <definedName name="csnab">#REF!</definedName>
    <definedName name="ct">#REF!</definedName>
    <definedName name="currency">[14]misc!$B$2</definedName>
    <definedName name="cv">#REF!</definedName>
    <definedName name="cvo">#REF!</definedName>
    <definedName name="CY_Accounts_Receivable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#REF!</definedName>
    <definedName name="cyp">'[15]FS-97'!$BA$90</definedName>
    <definedName name="czhs">#REF!</definedName>
    <definedName name="Data">#REF!</definedName>
    <definedName name="ddd" localSheetId="0">[9]!ddd</definedName>
    <definedName name="ddd">[9]!ddd</definedName>
    <definedName name="dem_month">#REF!</definedName>
    <definedName name="dem_year">#REF!</definedName>
    <definedName name="det" localSheetId="0">[9]!det</definedName>
    <definedName name="det">[9]!det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ifference">#REF!</definedName>
    <definedName name="Disaggregations">#REF!</definedName>
    <definedName name="Dollar_BS">#REF!</definedName>
    <definedName name="Dollar_Cash">#REF!</definedName>
    <definedName name="Dollar_IS">#REF!</definedName>
    <definedName name="Dollar_non_cash_wk">#REF!</definedName>
    <definedName name="Drilling">#REF!</definedName>
    <definedName name="Drilling1">#REF!</definedName>
    <definedName name="End_Bal">#REF!</definedName>
    <definedName name="Error">[16]Anlagevermögen!$A$1:$Z$29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uro_month">#REF!</definedName>
    <definedName name="euro_year">#REF!</definedName>
    <definedName name="ew" localSheetId="0">[9]!ew</definedName>
    <definedName name="ew">[9]!ew</definedName>
    <definedName name="ew_11">#N/A</definedName>
    <definedName name="ew_12">#N/A</definedName>
    <definedName name="ew_13">#N/A</definedName>
    <definedName name="ew_14">#N/A</definedName>
    <definedName name="ew_16">#N/A</definedName>
    <definedName name="ew_17">#N/A</definedName>
    <definedName name="ew_18">#N/A</definedName>
    <definedName name="ew_19">#N/A</definedName>
    <definedName name="Excel_BuiltIn_Print_Area_2">#REF!</definedName>
    <definedName name="Excel_BuiltIn_Print_Area_4">#REF!</definedName>
    <definedName name="Excel_BuiltIn_Print_Area_5">#REF!</definedName>
    <definedName name="Excel_BuiltIn_Print_Area_6">#REF!</definedName>
    <definedName name="Excel_BuiltIn_Print_Area_7">#REF!</definedName>
    <definedName name="Expected_balance">#REF!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ra_Pay">#REF!</definedName>
    <definedName name="F" localSheetId="0">[9]!F</definedName>
    <definedName name="F">[9]!F</definedName>
    <definedName name="fd">#REF!</definedName>
    <definedName name="fdjfd">#REF!</definedName>
    <definedName name="fdjlsj">#REF!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g" localSheetId="0">[9]!fg</definedName>
    <definedName name="fg">[9]!fg</definedName>
    <definedName name="fg_11">#N/A</definedName>
    <definedName name="fg_12">#N/A</definedName>
    <definedName name="fg_13">#N/A</definedName>
    <definedName name="fg_14">#N/A</definedName>
    <definedName name="fg_16">#N/A</definedName>
    <definedName name="fg_17">#N/A</definedName>
    <definedName name="fg_18">#N/A</definedName>
    <definedName name="fg_19">#N/A</definedName>
    <definedName name="fjsf">#REF!</definedName>
    <definedName name="Full_Print">#REF!</definedName>
    <definedName name="fytf">#REF!</definedName>
    <definedName name="gaap_GRID">#REF!</definedName>
    <definedName name="gbr_month">#REF!</definedName>
    <definedName name="gbr_year">#REF!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rid_Assets">#REF!</definedName>
    <definedName name="Grid_bs">#REF!</definedName>
    <definedName name="Grid_is">#REF!</definedName>
    <definedName name="h" hidden="1">{#N/A,#N/A,FALSE,"МТВ"}</definedName>
    <definedName name="half">#REF!</definedName>
    <definedName name="Header_Row">ROW(#REF!)</definedName>
    <definedName name="HELP">#REF!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f">#REF!</definedName>
    <definedName name="hjjh" hidden="1">{#N/A,#N/A,TRUE,"Лист1";#N/A,#N/A,TRUE,"Лист2";#N/A,#N/A,TRUE,"Лист3"}</definedName>
    <definedName name="hozu">#REF!</definedName>
    <definedName name="Inc_Stmt">#REF!</definedName>
    <definedName name="Inc_Stmt1">#REF!</definedName>
    <definedName name="Int">#REF!</definedName>
    <definedName name="Interest_Rate">#REF!</definedName>
    <definedName name="interm_level">'[11]Threshold Table'!$D$6:$F$11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 localSheetId="0">[9]!k</definedName>
    <definedName name="k">[9]!k</definedName>
    <definedName name="k_11">#N/A</definedName>
    <definedName name="k_12">#N/A</definedName>
    <definedName name="k_13">#N/A</definedName>
    <definedName name="k_14">#N/A</definedName>
    <definedName name="k_16">#N/A</definedName>
    <definedName name="k_17">#N/A</definedName>
    <definedName name="k_18">#N/A</definedName>
    <definedName name="k_19">#N/A</definedName>
    <definedName name="kto">[17]Форма2!$C$19:$C$24,[17]Форма2!$E$19:$F$24,[17]Форма2!$D$26:$F$31,[17]Форма2!$C$33:$C$38,[17]Форма2!$E$33:$F$38,[17]Форма2!$D$40:$F$43,[17]Форма2!$C$45:$C$48,[17]Форма2!$E$45:$F$48,[17]Форма2!$C$19</definedName>
    <definedName name="Kumkol" hidden="1">{#N/A,#N/A,FALSE,"Сентябрь";#N/A,#N/A,FALSE,"Пояснительная сентябре 99"}</definedName>
    <definedName name="KZT_BS">#REF!</definedName>
    <definedName name="KZT_cash">#REF!</definedName>
    <definedName name="KZT_IS">#REF!</definedName>
    <definedName name="KZT_non_cash_wk">#REF!</definedName>
    <definedName name="L_Adjust">[18]Links!$H$1:$H$65536</definedName>
    <definedName name="L_AJE_Tot">[18]Links!$G$1:$G$65536</definedName>
    <definedName name="L_CY_Beg">[18]Links!$F$1:$F$65536</definedName>
    <definedName name="L_CY_End">[18]Links!$J$1:$J$65536</definedName>
    <definedName name="L_PY_End">[18]Links!$K$1:$K$65536</definedName>
    <definedName name="L_RJE_Tot">[18]Links!$I$1:$I$65536</definedName>
    <definedName name="Last_Row">#N/A</definedName>
    <definedName name="Loan_Amount">#REF!</definedName>
    <definedName name="Loan_Start">#REF!</definedName>
    <definedName name="Loan_Years">#REF!</definedName>
    <definedName name="LP">#REF!</definedName>
    <definedName name="lvnc">#REF!</definedName>
    <definedName name="m">[12]Anlagevermögen!$A$1:$Z$29</definedName>
    <definedName name="m_2005">'[19]1NK'!$R$10:$R$1877</definedName>
    <definedName name="m_2006">'[19]1NK'!$S$10:$S$1838</definedName>
    <definedName name="m_2007">'[19]1NK'!$T$10:$T$1838</definedName>
    <definedName name="m_dep_I">#REF!</definedName>
    <definedName name="m_dep_I_13">#REF!</definedName>
    <definedName name="m_dep_I_16">#REF!</definedName>
    <definedName name="m_dep_I_17">#REF!</definedName>
    <definedName name="m_dep_I_18">#REF!</definedName>
    <definedName name="m_dep_I1">#REF!</definedName>
    <definedName name="m_dep_I1_13">#REF!</definedName>
    <definedName name="m_dep_I1_16">#REF!</definedName>
    <definedName name="m_dep_I1_17">#REF!</definedName>
    <definedName name="m_dep_I1_18">#REF!</definedName>
    <definedName name="m_dep_N">#REF!</definedName>
    <definedName name="m_dep_N_13">#REF!</definedName>
    <definedName name="m_dep_N_16">#REF!</definedName>
    <definedName name="m_dep_N_17">#REF!</definedName>
    <definedName name="m_dep_N_18">#REF!</definedName>
    <definedName name="m_f2002">#REF!</definedName>
    <definedName name="m_Key2">#REF!</definedName>
    <definedName name="m_o2003">#REF!</definedName>
    <definedName name="m_OTM2005">'[20]2.2 ОтклОТМ'!$G$1:$G$65536</definedName>
    <definedName name="m_OTM2006">'[20]2.2 ОтклОТМ'!$J$1:$J$65536</definedName>
    <definedName name="m_OTM2007">'[20]2.2 ОтклОТМ'!$M$1:$M$65536</definedName>
    <definedName name="m_OTM2008">'[20]2.2 ОтклОТМ'!$P$1:$P$65536</definedName>
    <definedName name="m_OTM2009">'[20]2.2 ОтклОТМ'!$S$1:$S$65536</definedName>
    <definedName name="m_OTM2010">'[20]2.2 ОтклОТМ'!$V$1:$V$65536</definedName>
    <definedName name="m_OTMizm">'[20]1.3.2 ОТМ'!$K$1:$K$65536</definedName>
    <definedName name="m_OTMkod">'[20]1.3.2 ОТМ'!$A$1:$A$65536</definedName>
    <definedName name="m_OTMnomer">'[20]1.3.2 ОТМ'!$H$1:$H$65536</definedName>
    <definedName name="m_OTMpokaz">'[20]1.3.2 ОТМ'!$I$1:$I$65536</definedName>
    <definedName name="m_p2003">#REF!</definedName>
    <definedName name="m_Predpr_I">[20]Предпр!$C$3:$C$29</definedName>
    <definedName name="m_Predpr_I_13">#REF!</definedName>
    <definedName name="m_Predpr_I_16">#REF!</definedName>
    <definedName name="m_Predpr_I_18">#REF!</definedName>
    <definedName name="m_Predpr_N">[20]Предпр!$D$3:$D$29</definedName>
    <definedName name="m_Predpr_N_13">#REF!</definedName>
    <definedName name="m_Predpr_N_16">#REF!</definedName>
    <definedName name="m_Predpr_N_18">#REF!</definedName>
    <definedName name="m_Zatrat">[20]ЦентрЗатр!$A$2:$G$71</definedName>
    <definedName name="m_Zatrat_13">[21]ЦентрЗатр!$A$2:$G$71</definedName>
    <definedName name="m_Zatrat_16">[21]ЦентрЗатр!$A$2:$G$71</definedName>
    <definedName name="m_Zatrat_18">[21]ЦентрЗатр!$A$2:$G$71</definedName>
    <definedName name="m_Zatrat_Ed">[20]ЦентрЗатр!$E$2:$E$71</definedName>
    <definedName name="m_Zatrat_Ed_13">[22]ЦентрЗатр!$E$2:$E$71</definedName>
    <definedName name="m_Zatrat_Ed_16">[22]ЦентрЗатр!$E$2:$E$71</definedName>
    <definedName name="m_Zatrat_Ed_18">[22]ЦентрЗатр!$E$2:$E$71</definedName>
    <definedName name="m_Zatrat_K">[20]ЦентрЗатр!$F$2:$F$71</definedName>
    <definedName name="m_Zatrat_K_13">[22]ЦентрЗатр!$F$2:$F$71</definedName>
    <definedName name="m_Zatrat_K_16">[22]ЦентрЗатр!$F$2:$F$71</definedName>
    <definedName name="m_Zatrat_K_18">[22]ЦентрЗатр!$F$2:$F$71</definedName>
    <definedName name="m_Zatrat_N">[20]ЦентрЗатр!$G$2:$G$71</definedName>
    <definedName name="m_Zatrat_N_13">[21]ЦентрЗатр!$G$2:$G$71</definedName>
    <definedName name="m_Zatrat_N_16">[21]ЦентрЗатр!$G$2:$G$71</definedName>
    <definedName name="m_Zatrat_N_18">[21]ЦентрЗатр!$G$2:$G$71</definedName>
    <definedName name="main">'[23]Список документов'!$A$1</definedName>
    <definedName name="mas_1">#REF!</definedName>
    <definedName name="mas_1_13">#REF!</definedName>
    <definedName name="mas_1_16">#REF!</definedName>
    <definedName name="mas_1_17">#REF!</definedName>
    <definedName name="mas_1_18">#REF!</definedName>
    <definedName name="mas_2">#REF!</definedName>
    <definedName name="mas_2_13">#REF!</definedName>
    <definedName name="mas_2_16">#REF!</definedName>
    <definedName name="mas_2_17">#REF!</definedName>
    <definedName name="mas_2_18">#REF!</definedName>
    <definedName name="mas_2_new">#REF!</definedName>
    <definedName name="mas_2_new_13">#REF!</definedName>
    <definedName name="mas_2_new_16">#REF!</definedName>
    <definedName name="mas_2_new_17">#REF!</definedName>
    <definedName name="mas_2_new_18">#REF!</definedName>
    <definedName name="mas_3">#REF!</definedName>
    <definedName name="mas_3_13">#REF!</definedName>
    <definedName name="mas_3_16">#REF!</definedName>
    <definedName name="mas_3_17">#REF!</definedName>
    <definedName name="mas_3_18">#REF!</definedName>
    <definedName name="mas_4">#REF!</definedName>
    <definedName name="mas_4_13">#REF!</definedName>
    <definedName name="mas_4_16">#REF!</definedName>
    <definedName name="mas_4_17">#REF!</definedName>
    <definedName name="mas_4_18">#REF!</definedName>
    <definedName name="mas_new">#REF!</definedName>
    <definedName name="mas_new_13">#REF!</definedName>
    <definedName name="mas_new_16">#REF!</definedName>
    <definedName name="mas_new_17">#REF!</definedName>
    <definedName name="mas_new_18">#REF!</definedName>
    <definedName name="mas_old">#REF!</definedName>
    <definedName name="mas_spisok">#REF!</definedName>
    <definedName name="mas_spisok_13">#REF!</definedName>
    <definedName name="mas_spisok_16">#REF!</definedName>
    <definedName name="mas_spisok_18">#REF!</definedName>
    <definedName name="Monetary_Precision">#REF!</definedName>
    <definedName name="month">#REF!</definedName>
    <definedName name="net">#REF!</definedName>
    <definedName name="new">'[24]$ IS'!$A$1:$BH$34</definedName>
    <definedName name="New_a_c">#REF!</definedName>
    <definedName name="Njkf" localSheetId="0">[9]!Njkf</definedName>
    <definedName name="Njkf">[9]!Njkf</definedName>
    <definedName name="Num_Pmt_Per_Year">#REF!</definedName>
    <definedName name="Number_of_Payments">MATCH(0.01,End_Bal,-1)+1</definedName>
    <definedName name="oi">#REF!</definedName>
    <definedName name="one">#REF!,#REF!</definedName>
    <definedName name="ooo">'[25]GAAP TB 30.09.01  detail p&amp;l'!#REF!</definedName>
    <definedName name="OpDate">[13]Info!$G$5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c">#REF!</definedName>
    <definedName name="Pivot_division">#REF!</definedName>
    <definedName name="Pivot_HO">#REF!</definedName>
    <definedName name="po">#REF!</definedName>
    <definedName name="pr">[26]Anlagevermögen!$A$1:$Z$29</definedName>
    <definedName name="Princ">#REF!</definedName>
    <definedName name="Print_Area_Reset">OFFSET(Full_Print,0,0,Last_Row)</definedName>
    <definedName name="printa">#REF!</definedName>
    <definedName name="printb">#REF!</definedName>
    <definedName name="printc">#REF!</definedName>
    <definedName name="printk">#REF!</definedName>
    <definedName name="Prob_ResRec">#REF!</definedName>
    <definedName name="Prob_ResRec1">#REF!</definedName>
    <definedName name="Proved_ResRec">#REF!</definedName>
    <definedName name="Proved_ResRec1">#REF!</definedName>
    <definedName name="PY_Accounts_Receivable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#REF!</definedName>
    <definedName name="PY2_Accounts_Receivable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pz">#REF!</definedName>
    <definedName name="Q1_901s_materials">'[27]Production_Ref Q-1-3'!$V$32:$V$82</definedName>
    <definedName name="Q1_902_903s">'[27]Production_Ref Q-1-3'!$V$83:$V$104</definedName>
    <definedName name="Q1_AJE_KLO">#REF!</definedName>
    <definedName name="Q1_AJE41_payroll">#REF!</definedName>
    <definedName name="Q1_audit_expenses">#REF!</definedName>
    <definedName name="Q1_bank_services">#REF!</definedName>
    <definedName name="Q1_catering_services">#REF!</definedName>
    <definedName name="Q1_communication_expenses">#REF!</definedName>
    <definedName name="Q1_contract_interpreters">#REF!</definedName>
    <definedName name="Q1_DD_AJEs">#REF!</definedName>
    <definedName name="Q1_DD_provision_KZT">#REF!</definedName>
    <definedName name="Q1_donations">#REF!</definedName>
    <definedName name="Q1_donations_Kaisar">#REF!</definedName>
    <definedName name="Q1_excise_tax">'[27]Production_Ref Q-1-3'!$V$28</definedName>
    <definedName name="Q1_expat_payroll">#REF!</definedName>
    <definedName name="Q1_expat_travel">#REF!</definedName>
    <definedName name="Q1_Farm_expat_payroll">#REF!</definedName>
    <definedName name="Q1_farm_GA">#REF!</definedName>
    <definedName name="Q1_Farm_other">#REF!,#REF!,#REF!,#REF!,#REF!,#REF!,#REF!,#REF!,#REF!,#REF!</definedName>
    <definedName name="Q1_Farm_payroll_nationals">#REF!,#REF!</definedName>
    <definedName name="Q1_insurance">#REF!</definedName>
    <definedName name="Q1_KLO_KZT">#REF!</definedName>
    <definedName name="Q1_KLO_Royalty_KZT">'[27]Production_Ref Q-1-3'!$S$17</definedName>
    <definedName name="Q1_legal_settlements">#REF!</definedName>
    <definedName name="Q1_medical_expenses">#REF!</definedName>
    <definedName name="Q1_mngnt_services">#REF!</definedName>
    <definedName name="Q1_national_payroll">#REF!,#REF!</definedName>
    <definedName name="Q1_overheads_KZT">'[27]Production_Ref Q-1-3'!$Q$17:$R$17,'[27]Production_Ref Q-1-3'!$T$19:$T$23,'[27]Production_Ref Q-1-3'!$T$26,'[27]Production_Ref Q-1-3'!$Q$30,'[27]Production_Ref Q-1-3'!$T$106:$T$258,'[27]Production_Ref Q-1-3'!$T$265:$T$268</definedName>
    <definedName name="Q1_pipeline_tariff">'[27]Production_Ref Q-1-3'!$V$24</definedName>
    <definedName name="Q1_property_tax">#REF!</definedName>
    <definedName name="Q1_railway_tariff">'[27]Production_Ref Q-1-3'!$V$25</definedName>
    <definedName name="Q1_security">#REF!</definedName>
    <definedName name="Q1_tax_advice">#REF!</definedName>
    <definedName name="Q1_trucking_services">#REF!</definedName>
    <definedName name="Q1_TurgaiPetroleum">'[27]Production_Ref Q-1-3'!$S$30</definedName>
    <definedName name="Q2_901s_materials">'[27]Production_Ref Q-1-3'!$N$32:$N$82</definedName>
    <definedName name="Q2_902_903s">'[27]Production_Ref Q-1-3'!$N$83:$N$104</definedName>
    <definedName name="Q2_AJE50_901s">'[27]Production_Ref Q-1-3'!$N$273</definedName>
    <definedName name="Q2_AJE51_KLO_USD">'[27]Production_Ref Q-1-3'!$N$275</definedName>
    <definedName name="Q2_AJE62_pipeline_tariff">'[27]Production_Ref Q-1-3'!$N$277</definedName>
    <definedName name="Q2_AJE68_pipeline_tariff">'[27]Production_Ref Q-1-3'!$N$279</definedName>
    <definedName name="Q2_AJE77_pipeline_tariff">'[27]Production_Ref Q-1-3'!$N$283</definedName>
    <definedName name="Q2_audit_expenses">#REF!</definedName>
    <definedName name="Q2_baddebt_provision">#REF!</definedName>
    <definedName name="Q2_bank_services">#REF!</definedName>
    <definedName name="Q2_catering_services">#REF!</definedName>
    <definedName name="Q2_communication_expenses">#REF!</definedName>
    <definedName name="Q2_contract_interpreters">#REF!</definedName>
    <definedName name="Q2_donation_Kaisar">#REF!</definedName>
    <definedName name="Q2_donations">#REF!</definedName>
    <definedName name="Q2_excise_tax">'[27]Production_Ref Q-1-3'!$N$28</definedName>
    <definedName name="Q2_expat_payroll">#REF!</definedName>
    <definedName name="Q2_expat_travel">#REF!</definedName>
    <definedName name="Q2_farm_GA">#REF!</definedName>
    <definedName name="Q2_farm_other">#REF!,#REF!,#REF!,#REF!,#REF!,#REF!,#REF!,#REF!,#REF!,#REF!,#REF!,#REF!</definedName>
    <definedName name="Q2_farm_payroll">#REF!,#REF!</definedName>
    <definedName name="Q2_insurance">#REF!</definedName>
    <definedName name="Q2_KLO">#REF!</definedName>
    <definedName name="Q2_KTO_crude">'[27]Production_Ref Q-1-3'!$N$281</definedName>
    <definedName name="Q2_legal_settlements">#REF!</definedName>
    <definedName name="Q2_medical_expenses">#REF!</definedName>
    <definedName name="Q2_mngnt_services">#REF!</definedName>
    <definedName name="Q2_national_payroll">#REF!,#REF!</definedName>
    <definedName name="Q2_overheads">'[27]Production_Ref Q-1-3'!$N$7:$N$23,'[27]Production_Ref Q-1-3'!$N$26,'[27]Production_Ref Q-1-3'!$N$106:$N$258</definedName>
    <definedName name="Q2_pipeline_tariff">'[27]Production_Ref Q-1-3'!$N$24</definedName>
    <definedName name="Q2_property_tax">#REF!</definedName>
    <definedName name="Q2_railway_tariff">'[27]Production_Ref Q-1-3'!$N$25</definedName>
    <definedName name="Q2_security">#REF!</definedName>
    <definedName name="Q2_tax_advice">#REF!</definedName>
    <definedName name="Q2_trucking_services">#REF!</definedName>
    <definedName name="Q2_TurgaiPetroleum_KZT">'[27]Production_Ref Q-1-3'!$K$31</definedName>
    <definedName name="Q3_901s_materials">'[27]Production_Ref Q-1-3'!$G$32:$G$82</definedName>
    <definedName name="Q3_902_903s">'[27]Production_Ref Q-1-3'!$G$83:$G$104</definedName>
    <definedName name="Q3_AJE10_KLO">'[27]Production_Ref Q-1-3'!$G$287</definedName>
    <definedName name="Q3_AJE11_pipeline_tariff">'[27]Production_Ref Q-1-3'!$G$289</definedName>
    <definedName name="Q3_AJEs_other">#REF!</definedName>
    <definedName name="Q3_audit_expenses">#REF!</definedName>
    <definedName name="Q3_baddebts_provisions">#REF!</definedName>
    <definedName name="Q3_bank_services">#REF!</definedName>
    <definedName name="Q3_catering_services">#REF!</definedName>
    <definedName name="Q3_communication_expenses">#REF!</definedName>
    <definedName name="Q3_contract_interpreters">#REF!</definedName>
    <definedName name="Q3_donation_Kaisar">#REF!</definedName>
    <definedName name="Q3_donations">#REF!</definedName>
    <definedName name="Q3_excise_tax">'[27]Production_Ref Q-1-3'!$G$28</definedName>
    <definedName name="Q3_expat_payroll">#REF!</definedName>
    <definedName name="Q3_expat_travel">#REF!</definedName>
    <definedName name="Q3_insurance">#REF!</definedName>
    <definedName name="Q3_KLO">#REF!</definedName>
    <definedName name="Q3_legal_settlements">#REF!</definedName>
    <definedName name="Q3_medical_expenses">#REF!</definedName>
    <definedName name="Q3_mngt_services">#REF!</definedName>
    <definedName name="Q3_national_payroll">#REF!,#REF!</definedName>
    <definedName name="Q3_other">#REF!,#REF!,#REF!,#REF!,#REF!,#REF!,#REF!,#REF!,#REF!,#REF!,#REF!,#REF!,#REF!,#REF!,#REF!,#REF!</definedName>
    <definedName name="Q3_overheads">'[27]Production_Ref Q-1-3'!$G$17:$G$23,'[27]Production_Ref Q-1-3'!$G$26,'[27]Production_Ref Q-1-3'!$G$106:$G$143,'[27]Production_Ref Q-1-3'!$G$144:$G$180,'[27]Production_Ref Q-1-3'!$G$181:$G$217,'[27]Production_Ref Q-1-3'!$G$218:$G$258,'[27]Production_Ref Q-1-3'!$G$285</definedName>
    <definedName name="Q3_pipeline_tariff">'[27]Production_Ref Q-1-3'!$G$24</definedName>
    <definedName name="Q3_property_tax">#REF!</definedName>
    <definedName name="Q3_railway_tariff">'[27]Production_Ref Q-1-3'!$G$25</definedName>
    <definedName name="Q3_security">#REF!</definedName>
    <definedName name="Q3_tax_advice">#REF!</definedName>
    <definedName name="Q3_trucking_services">#REF!</definedName>
    <definedName name="Q3_TurgaiPetroleum">'[27]Production_Ref Q-1-3'!$G$31</definedName>
    <definedName name="Q3_VAT_nondeductible">#REF!</definedName>
    <definedName name="Q4_labour">SUM(#REF!)</definedName>
    <definedName name="Q4_Materials">SUM(#REF!)</definedName>
    <definedName name="Q4_Overheads">SUM(#REF!,#REF!,#REF!)</definedName>
    <definedName name="qqq">'[25]GAAP TB 30.09.01  detail p&amp;l'!#REF!</definedName>
    <definedName name="qsda" hidden="1">4</definedName>
    <definedName name="qwe">[28]Форма2!$C$19:$C$24,[28]Форма2!$E$19:$F$24,[28]Форма2!$D$26:$F$31,[28]Форма2!$C$33:$C$38,[28]Форма2!$E$33:$F$38,[28]Форма2!$D$40:$F$43,[28]Форма2!$C$45:$C$48,[28]Форма2!$E$45:$F$48,[28]Форма2!$C$19</definedName>
    <definedName name="qwe_13">[29]Форма2!$C$19:$C$24,[29]Форма2!$E$19:$F$24,[29]Форма2!$D$26:$F$31,[29]Форма2!$C$33:$C$38,[29]Форма2!$E$33:$F$38,[29]Форма2!$D$40:$F$43,[29]Форма2!$C$45:$C$48,[29]Форма2!$E$45:$F$48,[29]Форма2!$C$19</definedName>
    <definedName name="qwe_16">[29]Форма2!$C$19:$C$24,[29]Форма2!$E$19:$F$24,[29]Форма2!$D$26:$F$31,[29]Форма2!$C$33:$C$38,[29]Форма2!$E$33:$F$38,[29]Форма2!$D$40:$F$43,[29]Форма2!$C$45:$C$48,[29]Форма2!$E$45:$F$48,[29]Форма2!$C$19</definedName>
    <definedName name="qwe_18">[29]Форма2!$C$19:$C$24,[29]Форма2!$E$19:$F$24,[29]Форма2!$D$26:$F$31,[29]Форма2!$C$33:$C$38,[29]Форма2!$E$33:$F$38,[29]Форма2!$D$40:$F$43,[29]Форма2!$C$45:$C$48,[29]Форма2!$E$45:$F$48,[29]Форма2!$C$19</definedName>
    <definedName name="R_Factor">#REF!</definedName>
    <definedName name="rate7">#REF!</definedName>
    <definedName name="Ref_1">'[30]FA Movement Kyrg'!$E$22</definedName>
    <definedName name="Ref_10">'[30]FA Movement Kyrg'!$I$39</definedName>
    <definedName name="Ref_11">'[30]FA Movement Kyrg'!$K$39</definedName>
    <definedName name="Ref_12">'[30]FA Movement Kyrg'!$K$17</definedName>
    <definedName name="Ref_13">'[30]FA Movement Kyrg'!$C$17</definedName>
    <definedName name="Ref_14">'[30]FA Movement Kyrg'!$E$17</definedName>
    <definedName name="Ref_2">'[30]FA Movement Kyrg'!$A$1</definedName>
    <definedName name="Ref_3">#REF!</definedName>
    <definedName name="Ref_4">'[30]FA Movement Kyrg'!$A$19</definedName>
    <definedName name="Ref_5">'[30]FA Movement Kyrg'!$C$17</definedName>
    <definedName name="Ref_6">'[30]FA Movement Kyrg'!$K$17</definedName>
    <definedName name="Ref_7">'[30]FA Movement Kyrg'!$C$28</definedName>
    <definedName name="Ref_8">'[30]FA Movement Kyrg'!$C$28</definedName>
    <definedName name="Ref_9">'[30]FA Movement Kyrg'!$K$28</definedName>
    <definedName name="refined">#REF!</definedName>
    <definedName name="Reserve_Stats">#REF!</definedName>
    <definedName name="Reserve_Stats1">#REF!</definedName>
    <definedName name="Reserves">#REF!</definedName>
    <definedName name="Reserves1">#REF!</definedName>
    <definedName name="Residual_difference">#REF!</definedName>
    <definedName name="respirators">#REF!</definedName>
    <definedName name="rjhjdf" hidden="1">{#N/A,#N/A,FALSE,"МТВ"}</definedName>
    <definedName name="rng">#REF!</definedName>
    <definedName name="rngChartRange">#REF!</definedName>
    <definedName name="rngChartRange_13">#REF!</definedName>
    <definedName name="rngChartRange_16">#REF!</definedName>
    <definedName name="rngChartRange_18">#REF!</definedName>
    <definedName name="rngDataAll">#REF!</definedName>
    <definedName name="rngDataAll_13">#REF!</definedName>
    <definedName name="rngDataAll_16">#REF!</definedName>
    <definedName name="rngDataAll_18">#REF!</definedName>
    <definedName name="rngEnd">#REF!</definedName>
    <definedName name="rngEnd_13">#REF!</definedName>
    <definedName name="rngEnd_16">#REF!</definedName>
    <definedName name="rngEnd_18">#REF!</definedName>
    <definedName name="rngIATACode">#REF!</definedName>
    <definedName name="rngIATACode_13">#REF!</definedName>
    <definedName name="rngIATACode_16">#REF!</definedName>
    <definedName name="rngIATACode_18">#REF!</definedName>
    <definedName name="rngResStart">#REF!</definedName>
    <definedName name="rngResStart_13">#REF!</definedName>
    <definedName name="rngResStart_16">#REF!</definedName>
    <definedName name="rngResStart_18">#REF!</definedName>
    <definedName name="rngStart">#REF!</definedName>
    <definedName name="rngStart_13">#REF!</definedName>
    <definedName name="rngStart_16">#REF!</definedName>
    <definedName name="rngStart_18">#REF!</definedName>
    <definedName name="rngUpdate">#REF!</definedName>
    <definedName name="rngUpdate_13">#REF!</definedName>
    <definedName name="rngUpdate_16">#REF!</definedName>
    <definedName name="rngUpdate_18">#REF!</definedName>
    <definedName name="rost">#REF!</definedName>
    <definedName name="rty" hidden="1">{#N/A,#N/A,FALSE,"МТВ"}</definedName>
    <definedName name="rur_month">#REF!</definedName>
    <definedName name="rur_year">#REF!</definedName>
    <definedName name="ru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1_">#REF!</definedName>
    <definedName name="S1__13">#REF!</definedName>
    <definedName name="S1__16">#REF!</definedName>
    <definedName name="S1__18">#REF!</definedName>
    <definedName name="s1_0">#REF!</definedName>
    <definedName name="s1_0_13">#REF!</definedName>
    <definedName name="s1_0_16">#REF!</definedName>
    <definedName name="s1_0_17">#REF!</definedName>
    <definedName name="s1_0_18">#REF!</definedName>
    <definedName name="s1_1">#REF!</definedName>
    <definedName name="s1_1_13">#REF!</definedName>
    <definedName name="s1_1_16">#REF!</definedName>
    <definedName name="s1_1_17">#REF!</definedName>
    <definedName name="s1_1_18">#REF!</definedName>
    <definedName name="S10_">#REF!</definedName>
    <definedName name="S10__13">#REF!</definedName>
    <definedName name="S10__16">#REF!</definedName>
    <definedName name="S10__18">#REF!</definedName>
    <definedName name="S11_">#REF!</definedName>
    <definedName name="S11__13">#REF!</definedName>
    <definedName name="S11__16">#REF!</definedName>
    <definedName name="S11__18">#REF!</definedName>
    <definedName name="S12_">#REF!</definedName>
    <definedName name="S12__13">#REF!</definedName>
    <definedName name="S12__16">#REF!</definedName>
    <definedName name="S12__18">#REF!</definedName>
    <definedName name="S13_">#REF!</definedName>
    <definedName name="S13__13">#REF!</definedName>
    <definedName name="S13__16">#REF!</definedName>
    <definedName name="S13__18">#REF!</definedName>
    <definedName name="S14_">#REF!</definedName>
    <definedName name="S14__13">#REF!</definedName>
    <definedName name="S14__16">#REF!</definedName>
    <definedName name="S14__18">#REF!</definedName>
    <definedName name="S15_">#REF!</definedName>
    <definedName name="S15__13">#REF!</definedName>
    <definedName name="S15__16">#REF!</definedName>
    <definedName name="S15__18">#REF!</definedName>
    <definedName name="S16_">#REF!</definedName>
    <definedName name="S16__13">#REF!</definedName>
    <definedName name="S16__16">#REF!</definedName>
    <definedName name="S16__18">#REF!</definedName>
    <definedName name="S17_">#REF!</definedName>
    <definedName name="S17__13">#REF!</definedName>
    <definedName name="S17__16">#REF!</definedName>
    <definedName name="S17__18">#REF!</definedName>
    <definedName name="S18_">#REF!</definedName>
    <definedName name="S18__13">#REF!</definedName>
    <definedName name="S18__16">#REF!</definedName>
    <definedName name="S18__18">#REF!</definedName>
    <definedName name="S19_">#REF!</definedName>
    <definedName name="S19__13">#REF!</definedName>
    <definedName name="S19__16">#REF!</definedName>
    <definedName name="S19__18">#REF!</definedName>
    <definedName name="S2_">#REF!</definedName>
    <definedName name="S2__13">#REF!</definedName>
    <definedName name="S2__16">#REF!</definedName>
    <definedName name="S2__18">#REF!</definedName>
    <definedName name="S20_">#REF!</definedName>
    <definedName name="S20__13">#REF!</definedName>
    <definedName name="S20__16">#REF!</definedName>
    <definedName name="S20__18">#REF!</definedName>
    <definedName name="S3_">#REF!</definedName>
    <definedName name="S3__13">#REF!</definedName>
    <definedName name="S3__16">#REF!</definedName>
    <definedName name="S3__18">#REF!</definedName>
    <definedName name="s341_1">'[31]ЛСЦ начисленное на 31.12.08'!#REF!</definedName>
    <definedName name="s341_10">'[31]ЛСЦ начисленное на 31.12.08'!#REF!</definedName>
    <definedName name="s341_11">'[31]ЛСЦ начисленное на 31.12.08'!#REF!</definedName>
    <definedName name="s341_12">'[31]ЛСЦ начисленное на 31.12.08'!#REF!</definedName>
    <definedName name="s341_13">'[31]ЛСЦ начисленное на 31.12.08'!#REF!</definedName>
    <definedName name="s341_15">'[31]ЛСЦ начисленное на 31.12.08'!#REF!</definedName>
    <definedName name="s341_19">'[31]ЛСЦ начисленное на 31.12.08'!#REF!</definedName>
    <definedName name="s341_2">'[31]ЛСЦ начисленное на 31.12.08'!#REF!</definedName>
    <definedName name="s341_20">'[31]ЛСЦ начисленное на 31.12.08'!#REF!</definedName>
    <definedName name="s341_21">'[31]ЛСЦ начисленное на 31.12.08'!#REF!</definedName>
    <definedName name="s341_22">'[31]ЛСЦ начисленное на 31.12.08'!#REF!</definedName>
    <definedName name="s341_23">'[31]ЛСЦ начисленное на 31.12.08'!#REF!</definedName>
    <definedName name="s341_24">'[31]ЛСЦ начисленное на 31.12.08'!#REF!</definedName>
    <definedName name="s341_27">'[31]ЛСЦ начисленное на 31.12.08'!#REF!</definedName>
    <definedName name="s341_28">'[31]ЛСЦ начисленное на 31.12.08'!#REF!</definedName>
    <definedName name="s341_29">'[31]ЛСЦ начисленное на 31.12.08'!#REF!</definedName>
    <definedName name="s341_3">'[31]ЛСЦ начисленное на 31.12.08'!#REF!</definedName>
    <definedName name="s341_34">'[31]ЛСЦ начисленное на 31.12.08'!#REF!</definedName>
    <definedName name="s341_4">'[31]ЛСЦ начисленное на 31.12.08'!#REF!</definedName>
    <definedName name="s341_5">'[31]ЛСЦ начисленное на 31.12.08'!#REF!</definedName>
    <definedName name="s341_6">'[31]ЛСЦ начисленное на 31.12.08'!#REF!</definedName>
    <definedName name="s341_7">'[31]ЛСЦ начисленное на 31.12.08'!#REF!</definedName>
    <definedName name="s341_8">'[31]ЛСЦ начисленное на 31.12.08'!#REF!</definedName>
    <definedName name="s341_9">'[31]ЛСЦ начисленное на 31.12.08'!#REF!</definedName>
    <definedName name="S4_">#REF!</definedName>
    <definedName name="S4__13">#REF!</definedName>
    <definedName name="S4__16">#REF!</definedName>
    <definedName name="S4__18">#REF!</definedName>
    <definedName name="S5_">#REF!</definedName>
    <definedName name="S5__13">#REF!</definedName>
    <definedName name="S5__16">#REF!</definedName>
    <definedName name="S5__18">#REF!</definedName>
    <definedName name="S6_">#REF!</definedName>
    <definedName name="S6__13">#REF!</definedName>
    <definedName name="S6__16">#REF!</definedName>
    <definedName name="S6__18">#REF!</definedName>
    <definedName name="S7_">#REF!</definedName>
    <definedName name="S7__13">#REF!</definedName>
    <definedName name="S7__16">#REF!</definedName>
    <definedName name="S7__18">#REF!</definedName>
    <definedName name="S8_">#REF!</definedName>
    <definedName name="S8__13">#REF!</definedName>
    <definedName name="S8__16">#REF!</definedName>
    <definedName name="S8__18">#REF!</definedName>
    <definedName name="S9_">#REF!</definedName>
    <definedName name="S9__13">#REF!</definedName>
    <definedName name="S9__16">#REF!</definedName>
    <definedName name="S9__18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>#REF!</definedName>
    <definedName name="sfd">#REF!</definedName>
    <definedName name="ShEquity">#REF!</definedName>
    <definedName name="ShEquity1">#REF!</definedName>
    <definedName name="ss341_1">'[31]ЛСЦ начисленное на 31.12.08'!#REF!</definedName>
    <definedName name="ss341_10">'[31]ЛСЦ начисленное на 31.12.08'!#REF!</definedName>
    <definedName name="ss341_11">'[31]ЛСЦ начисленное на 31.12.08'!#REF!</definedName>
    <definedName name="ss341_12">'[31]ЛСЦ начисленное на 31.12.08'!#REF!</definedName>
    <definedName name="ss341_13">'[31]ЛСЦ начисленное на 31.12.08'!#REF!</definedName>
    <definedName name="ss341_15">'[31]ЛСЦ начисленное на 31.12.08'!#REF!</definedName>
    <definedName name="ss341_19">'[31]ЛСЦ начисленное на 31.12.08'!#REF!</definedName>
    <definedName name="ss341_2">'[31]ЛСЦ начисленное на 31.12.08'!#REF!</definedName>
    <definedName name="ss341_20">'[31]ЛСЦ начисленное на 31.12.08'!#REF!</definedName>
    <definedName name="ss341_21">'[31]ЛСЦ начисленное на 31.12.08'!#REF!</definedName>
    <definedName name="ss341_22">'[31]ЛСЦ начисленное на 31.12.08'!#REF!</definedName>
    <definedName name="ss341_23">'[31]ЛСЦ начисленное на 31.12.08'!#REF!</definedName>
    <definedName name="ss341_24">'[31]ЛСЦ начисленное на 31.12.08'!#REF!</definedName>
    <definedName name="ss341_27">'[31]ЛСЦ начисленное на 31.12.08'!#REF!</definedName>
    <definedName name="ss341_28">'[31]ЛСЦ начисленное на 31.12.08'!#REF!</definedName>
    <definedName name="ss341_29">'[31]ЛСЦ начисленное на 31.12.08'!#REF!</definedName>
    <definedName name="ss341_3">'[31]ЛСЦ начисленное на 31.12.08'!#REF!</definedName>
    <definedName name="ss341_34">'[31]ЛСЦ начисленное на 31.12.08'!#REF!</definedName>
    <definedName name="ss341_4">'[31]ЛСЦ начисленное на 31.12.08'!#REF!</definedName>
    <definedName name="ss341_5">'[31]ЛСЦ начисленное на 31.12.08'!#REF!</definedName>
    <definedName name="ss341_6">'[31]ЛСЦ начисленное на 31.12.08'!#REF!</definedName>
    <definedName name="ss341_7">'[31]ЛСЦ начисленное на 31.12.08'!#REF!</definedName>
    <definedName name="ss341_8">'[31]ЛСЦ начисленное на 31.12.08'!#REF!</definedName>
    <definedName name="ss341_9">'[31]ЛСЦ начисленное на 31.12.08'!#REF!</definedName>
    <definedName name="SyncrudeJV">#REF!</definedName>
    <definedName name="SyncrudeJV1">#REF!</definedName>
    <definedName name="Tariff">[32]Capex!#REF!</definedName>
    <definedName name="TB_AFTER_adjs">#REF!</definedName>
    <definedName name="TB_before_adjs">#REF!</definedName>
    <definedName name="TEST0">#REF!</definedName>
    <definedName name="TESTHKEY">#REF!</definedName>
    <definedName name="TESTKEYS">#REF!</definedName>
    <definedName name="TESTVKEY">#REF!</definedName>
    <definedName name="TextRefCopy1">#REF!</definedName>
    <definedName name="TextRefCopy10">'[33]GAAP TB 31.12.01  detail p&amp;l'!#REF!</definedName>
    <definedName name="TextRefCopy100">#REF!</definedName>
    <definedName name="TextRefCopy101">'[34]FA Movement '!#REF!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1">#REF!</definedName>
    <definedName name="TextRefCopy112">'[35]Additions testing'!#REF!</definedName>
    <definedName name="TextRefCopy113">[36]breakdown!#REF!</definedName>
    <definedName name="TextRefCopy114">#REF!</definedName>
    <definedName name="TextRefCopy115">#REF!</definedName>
    <definedName name="TextRefCopy116">#REF!</definedName>
    <definedName name="TextRefCopy117">'[35]Additions testing'!#REF!</definedName>
    <definedName name="TextRefCopy118">#REF!</definedName>
    <definedName name="TextRefCopy119">#REF!</definedName>
    <definedName name="TextRefCopy12">'[33]GAAP TB 31.12.01  detail p&amp;l'!#REF!</definedName>
    <definedName name="TextRefCopy120">'[37]P&amp;L'!$B$20</definedName>
    <definedName name="TextRefCopy126">'[35]Movement schedule'!#REF!</definedName>
    <definedName name="TextRefCopy127">'[31]ЛЛизинг начис. на 31.12.08'!#REF!</definedName>
    <definedName name="TextRefCopy128">'[23]7'!#REF!</definedName>
    <definedName name="TextRefCopy13">'[33]GAAP TB 31.12.01  detail p&amp;l'!#REF!</definedName>
    <definedName name="TextRefCopy132">'[23]7'!#REF!</definedName>
    <definedName name="TextRefCopy133">'[35]Movement schedule'!#REF!</definedName>
    <definedName name="TextRefCopy134">'[31]ЛЛизинг начис. на 31.12.08'!#REF!</definedName>
    <definedName name="TextRefCopy135">'[23]7'!#REF!</definedName>
    <definedName name="TextRefCopy137">'[23]7'!#REF!</definedName>
    <definedName name="TextRefCopy139">'[23]7'!#REF!</definedName>
    <definedName name="TextRefCopy14">'[33]GAAP TB 31.12.01  detail p&amp;l'!#REF!</definedName>
    <definedName name="TextRefCopy140">'[23]7'!#REF!</definedName>
    <definedName name="TextRefCopy141">'[23]7'!#REF!</definedName>
    <definedName name="TextRefCopy143">'[31]ЛЛизинг начис. на 31.12.08'!#REF!</definedName>
    <definedName name="TextRefCopy144">'[31]ЛЛизинг начис. на 31.12.08'!#REF!</definedName>
    <definedName name="TextRefCopy146">#REF!</definedName>
    <definedName name="TextRefCopy148">'[23]7'!#REF!</definedName>
    <definedName name="TextRefCopy149">'[23]7'!#REF!</definedName>
    <definedName name="TextRefCopy15">'[33]GAAP TB 31.12.01  detail p&amp;l'!#REF!</definedName>
    <definedName name="TextRefCopy150">'[23]7'!#REF!</definedName>
    <definedName name="TextRefCopy151">'[23]7'!#REF!</definedName>
    <definedName name="TextRefCopy153">'[23]7'!#REF!</definedName>
    <definedName name="TextRefCopy154">#REF!</definedName>
    <definedName name="TextRefCopy155">'[23]7'!#REF!</definedName>
    <definedName name="TextRefCopy1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7">#REF!</definedName>
    <definedName name="TextRefCopy169">#REF!</definedName>
    <definedName name="TextRefCopy17">#REF!</definedName>
    <definedName name="TextRefCopy171">#REF!</definedName>
    <definedName name="TextRefCopy173">#REF!</definedName>
    <definedName name="TextRefCopy174">#REF!</definedName>
    <definedName name="TextRefCopy175">#REF!</definedName>
    <definedName name="TextRefCopy177">#REF!</definedName>
    <definedName name="TextRefCopy178">#REF!</definedName>
    <definedName name="TextRefCopy18">'[33]GAAP TB 31.12.01  detail p&amp;l'!#REF!</definedName>
    <definedName name="TextRefCopy180">#REF!</definedName>
    <definedName name="TextRefCopy181">#REF!</definedName>
    <definedName name="TextRefCopy183">#REF!</definedName>
    <definedName name="TextRefCopy186">#REF!</definedName>
    <definedName name="TextRefCopy188">#REF!</definedName>
    <definedName name="TextRefCopy19">'[33]GAAP TB 31.12.01  detail p&amp;l'!#REF!</definedName>
    <definedName name="TextRefCopy190">#REF!</definedName>
    <definedName name="TextRefCopy192">#REF!</definedName>
    <definedName name="TextRefCopy193">#REF!</definedName>
    <definedName name="TextRefCopy195">#REF!</definedName>
    <definedName name="TextRefCopy198">#REF!</definedName>
    <definedName name="TextRefCopy2">#REF!</definedName>
    <definedName name="TextRefCopy20">'[33]GAAP TB 31.12.01  detail p&amp;l'!#REF!</definedName>
    <definedName name="TextRefCopy21">'[34]FA Movement '!#REF!</definedName>
    <definedName name="TextRefCopy22">'[34]FA Movement '!#REF!</definedName>
    <definedName name="TextRefCopy23">'[34]FA Movement '!#REF!</definedName>
    <definedName name="TextRefCopy238">'[23]10'!#REF!</definedName>
    <definedName name="TextRefCopy24">'[38]9-1'!#REF!</definedName>
    <definedName name="TextRefCopy25">'[34]FA Movement '!#REF!</definedName>
    <definedName name="TextRefCopy26">'[34]FA Movement '!#REF!</definedName>
    <definedName name="TextRefCopy27">'[34]FA Movement '!#REF!</definedName>
    <definedName name="TextRefCopy274">'[23]10'!#REF!</definedName>
    <definedName name="TextRefCopy275">#REF!</definedName>
    <definedName name="TextRefCopy276">'[23]10'!#REF!</definedName>
    <definedName name="TextRefCopy277">#REF!</definedName>
    <definedName name="TextRefCopy278">'[23]10'!#REF!</definedName>
    <definedName name="TextRefCopy28">#REF!</definedName>
    <definedName name="TextRefCopy280">#REF!</definedName>
    <definedName name="TextRefCopy281">'[23]10'!#REF!</definedName>
    <definedName name="TextRefCopy282">'[23]10'!#REF!</definedName>
    <definedName name="TextRefCopy283">'[23]10'!#REF!</definedName>
    <definedName name="TextRefCopy284">'[23]10'!#REF!</definedName>
    <definedName name="TextRefCopy285">'[23]10'!#REF!</definedName>
    <definedName name="TextRefCopy29">'[38]9-1'!#REF!</definedName>
    <definedName name="TextRefCopy3">'[39]Собственный капитал'!#REF!</definedName>
    <definedName name="TextRefCopy30">'[23]7'!#REF!</definedName>
    <definedName name="TextRefCopy307">'[23]10'!#REF!</definedName>
    <definedName name="TextRefCopy309">'[23]10'!#REF!</definedName>
    <definedName name="TextRefCopy31">'[34]FA Movement '!#REF!</definedName>
    <definedName name="TextRefCopy310">'[23]10'!#REF!</definedName>
    <definedName name="TextRefCopy312">'[23]10'!#REF!</definedName>
    <definedName name="TextRefCopy32">'[34]FA Movement '!#REF!</definedName>
    <definedName name="TextRefCopy33">'[34]FA Movement '!#REF!</definedName>
    <definedName name="TextRefCopy34">#REF!</definedName>
    <definedName name="TextRefCopy35">'[34]FA Movement '!#REF!</definedName>
    <definedName name="TextRefCopy36">#REF!</definedName>
    <definedName name="TextRefCopy37">'[34]FA Movement '!#REF!</definedName>
    <definedName name="TextRefCopy38">'[34]FA Movement '!#REF!</definedName>
    <definedName name="TextRefCopy39">'[34]FA Movement '!#REF!</definedName>
    <definedName name="TextRefCopy4">'[33]GAAP TB 31.12.01  detail p&amp;l'!#REF!</definedName>
    <definedName name="TextRefCopy40">'[34]FA Movement '!#REF!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'[34]FA Movement '!#REF!</definedName>
    <definedName name="TextRefCopy47">#REF!</definedName>
    <definedName name="TextRefCopy48">[37]Provisions!$B$6</definedName>
    <definedName name="TextRefCopy49">#REF!</definedName>
    <definedName name="TextRefCopy5">'[39]Собственный капитал'!#REF!</definedName>
    <definedName name="TextRefCopy50">[36]breakdown!#REF!</definedName>
    <definedName name="TextRefCopy51">[36]breakdown!#REF!</definedName>
    <definedName name="TextRefCopy53">'[36]FA depreciation'!#REF!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'[33]GAAP TB 31.12.01  detail p&amp;l'!#REF!</definedName>
    <definedName name="TextRefCopy60">#REF!</definedName>
    <definedName name="TextRefCopy61">#REF!</definedName>
    <definedName name="TextRefCopy62">#REF!</definedName>
    <definedName name="TextRefCopy63">'[40]PP&amp;E mvt for 2003'!$R$18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'[33]GAAP TB 31.12.01  detail p&amp;l'!#REF!</definedName>
    <definedName name="TextRefCopy70">#REF!</definedName>
    <definedName name="TextRefCopy71">#REF!</definedName>
    <definedName name="TextRefCopy74">[36]breakdown!#REF!</definedName>
    <definedName name="TextRefCopy75">#REF!</definedName>
    <definedName name="TextRefCopy76">[41]Movements!#REF!</definedName>
    <definedName name="TextRefCopy77">#REF!</definedName>
    <definedName name="TextRefCopy78">#REF!</definedName>
    <definedName name="TextRefCopy79">#REF!</definedName>
    <definedName name="TextRefCopy8">'[33]GAAP TB 31.12.01  detail p&amp;l'!#REF!</definedName>
    <definedName name="TextRefCopy80">[42]Datasheet!$G$16</definedName>
    <definedName name="TextRefCopy81">#REF!</definedName>
    <definedName name="TextRefCopy82">#REF!</definedName>
    <definedName name="TextRefCopy83">#REF!</definedName>
    <definedName name="TextRefCopy85">#REF!</definedName>
    <definedName name="TextRefCopy86">#REF!</definedName>
    <definedName name="TextRefCopy87">#REF!</definedName>
    <definedName name="TextRefCopy88">'[40]PP&amp;E mvt for 2003'!$P$19</definedName>
    <definedName name="TextRefCopy89">'[40]PP&amp;E mvt for 2003'!$P$46</definedName>
    <definedName name="TextRefCopy9">'[33]GAAP TB 31.12.01  detail p&amp;l'!#REF!</definedName>
    <definedName name="TextRefCopy90">'[40]PP&amp;E mvt for 2003'!$P$25</definedName>
    <definedName name="TextRefCopy91">'[35]depreciation testing'!#REF!</definedName>
    <definedName name="TextRefCopy92">'[40]PP&amp;E mvt for 2003'!$P$26</definedName>
    <definedName name="TextRefCopy93">'[35]depreciation testing'!#REF!</definedName>
    <definedName name="TextRefCopy94">'[40]PP&amp;E mvt for 2003'!$P$52</definedName>
    <definedName name="TextRefCopy95">'[40]PP&amp;E mvt for 2003'!$P$53</definedName>
    <definedName name="TextRefCopy97">'[34]depreciation testing'!#REF!</definedName>
    <definedName name="TextRefCopy98">#REF!</definedName>
    <definedName name="TextRefCopy99">'[34]FA Movement '!#REF!</definedName>
    <definedName name="TextRefCopyRangeCount" hidden="1">3</definedName>
    <definedName name="Threshold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tt">'[25]GAAP TB 30.09.01  detail p&amp;l'!#REF!</definedName>
    <definedName name="UnitedStates">#REF!</definedName>
    <definedName name="usd_date">#REF!</definedName>
    <definedName name="v">#REF!</definedName>
    <definedName name="values">#REF!,#REF!,#REF!</definedName>
    <definedName name="Values_Entered">IF(Loan_Amount*Interest_Rate*Loan_Years*Loan_Start&gt;0,1,0)</definedName>
    <definedName name="VAT">[32]Capex!#REF!</definedName>
    <definedName name="wrn.4._.п." hidden="1">{#N/A,#N/A,FALSE,"Sheet5";#N/A,#N/A,FALSE,"Sheet3";#N/A,#N/A,FALSE,"Sheet4";#N/A,#N/A,FALSE,"Sheet1"}</definedName>
    <definedName name="wrn.Aging._.and._.Trend._.Analysis." hidden="1">{#N/A,#N/A,FALSE,"Aging Summary";#N/A,#N/A,FALSE,"Ratio Analysis";#N/A,#N/A,FALSE,"Test 120 Day Accts";#N/A,#N/A,FALSE,"Tickmarks"}</definedName>
    <definedName name="wrn.kumkol." hidden="1">{#N/A,#N/A,FALSE,"Сентябрь";#N/A,#N/A,FALSE,"Пояснительная сентябре 99"}</definedName>
    <definedName name="wrn.Сравнение._.с._.отраслями." hidden="1">{#N/A,#N/A,TRUE,"Лист1";#N/A,#N/A,TRUE,"Лист2";#N/A,#N/A,TRUE,"Лист3"}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">'[43]Balance Sheet'!$F$5</definedName>
    <definedName name="XREF_COLUMN_1" hidden="1">'[44]8180 (8181,8182)'!$P$1:$P$65536</definedName>
    <definedName name="XREF_COLUMN_10" hidden="1">'[44]8082'!$P$1:$P$65536</definedName>
    <definedName name="XREF_COLUMN_2" hidden="1">#REF!</definedName>
    <definedName name="XREF_COLUMN_3" hidden="1">'[44]8250'!$D$1:$D$65536</definedName>
    <definedName name="XREF_COLUMN_4" hidden="1">'[44]8140'!$P$1:$P$65536</definedName>
    <definedName name="XREF_COLUMN_5" hidden="1">#REF!</definedName>
    <definedName name="XREF_COLUMN_6" hidden="1">'[44]8070'!$P$1:$P$65536</definedName>
    <definedName name="XREF_COLUMN_7" hidden="1">'[44]8145'!$P$1:$P$65536</definedName>
    <definedName name="XREF_COLUMN_8" hidden="1">'[44]8200'!$P$1:$P$65536</definedName>
    <definedName name="XREF_COLUMN_9" hidden="1">'[44]8113'!$P$1:$P$65536</definedName>
    <definedName name="XRefActiveRow" hidden="1">[44]XREF!$A$15</definedName>
    <definedName name="XRefColumnsCount" hidden="1">1</definedName>
    <definedName name="XRefCopy1" hidden="1">[45]summary!#REF!</definedName>
    <definedName name="XRefCopy12" hidden="1">'[38]4'!#REF!</definedName>
    <definedName name="XRefCopy13" hidden="1">'[38]4'!#REF!</definedName>
    <definedName name="XRefCopy14" hidden="1">'[38]4'!#REF!</definedName>
    <definedName name="XRefCopy16" hidden="1">'[38]4'!#REF!</definedName>
    <definedName name="XRefCopy17" hidden="1">'[38]4'!#REF!</definedName>
    <definedName name="XRefCopy18" hidden="1">'[38]4'!#REF!</definedName>
    <definedName name="XRefCopy1Row" hidden="1">[45]XREF!#REF!</definedName>
    <definedName name="XRefCopy2" hidden="1">#REF!</definedName>
    <definedName name="XRefCopy20Row" hidden="1">[10]XREF!#REF!</definedName>
    <definedName name="XRefCopy21Row" hidden="1">[10]XREF!#REF!</definedName>
    <definedName name="XRefCopy22Row" hidden="1">[10]XREF!#REF!</definedName>
    <definedName name="XRefCopy23Row" hidden="1">[10]XREF!#REF!</definedName>
    <definedName name="XRefCopy24Row" hidden="1">[10]XREF!#REF!</definedName>
    <definedName name="XRefCopy26Row" hidden="1">[10]XREF!#REF!</definedName>
    <definedName name="XRefCopy27Row" hidden="1">[10]XREF!#REF!</definedName>
    <definedName name="XRefCopy28Row" hidden="1">[10]XREF!#REF!</definedName>
    <definedName name="XRefCopy29Row" hidden="1">[10]XREF!#REF!</definedName>
    <definedName name="XRefCopy2Row" hidden="1">#REF!</definedName>
    <definedName name="XRefCopy30Row" hidden="1">[10]XREF!#REF!</definedName>
    <definedName name="XRefCopy31Row" hidden="1">[10]XREF!#REF!</definedName>
    <definedName name="XRefCopy32Row" hidden="1">[10]XREF!#REF!</definedName>
    <definedName name="XRefCopy33Row" hidden="1">[10]XREF!#REF!</definedName>
    <definedName name="XRefCopy35Row" hidden="1">[10]XREF!#REF!</definedName>
    <definedName name="XRefCopy36Row" hidden="1">[10]XREF!#REF!</definedName>
    <definedName name="XRefCopy37Row" hidden="1">[10]XREF!#REF!</definedName>
    <definedName name="XRefCopy38Row" hidden="1">[10]XREF!#REF!</definedName>
    <definedName name="XRefCopy39Row" hidden="1">[10]XREF!#REF!</definedName>
    <definedName name="XRefCopy4" hidden="1">[45]summary!#REF!</definedName>
    <definedName name="XRefCopy40Row" hidden="1">[10]XREF!#REF!</definedName>
    <definedName name="XRefCopy41Row" hidden="1">[10]XREF!#REF!</definedName>
    <definedName name="XRefCopy42Row" hidden="1">[10]XREF!#REF!</definedName>
    <definedName name="XRefCopy5Row" hidden="1">[46]XREF!#REF!</definedName>
    <definedName name="XRefCopy80Row" hidden="1">[10]XREF!#REF!</definedName>
    <definedName name="XRefCopyRangeCount" hidden="1">8</definedName>
    <definedName name="XRefPaste1" hidden="1">'[38]1-1'!#REF!</definedName>
    <definedName name="XRefPaste10" hidden="1">'[44]8145'!$O$17</definedName>
    <definedName name="XRefPaste10Row" hidden="1">[44]XREF!$A$11:$IV$11</definedName>
    <definedName name="XRefPaste11" hidden="1">'[44]8200'!$O$17</definedName>
    <definedName name="XRefPaste11Row" hidden="1">[44]XREF!$A$12:$IV$12</definedName>
    <definedName name="XRefPaste12" hidden="1">'[44]8113'!$O$16</definedName>
    <definedName name="XRefPaste12Row" hidden="1">[44]XREF!$A$13:$IV$13</definedName>
    <definedName name="XRefPaste13" hidden="1">'[44]8082'!$O$16</definedName>
    <definedName name="XRefPaste13Row" hidden="1">[44]XREF!$A$14:$IV$14</definedName>
    <definedName name="XRefPaste18" hidden="1">'[38]4'!#REF!</definedName>
    <definedName name="XRefPaste1Row" hidden="1">#REF!</definedName>
    <definedName name="XRefPaste2" hidden="1">'[38]1'!#REF!</definedName>
    <definedName name="XRefPaste21Row" hidden="1">[10]XREF!#REF!</definedName>
    <definedName name="XRefPaste22Row" hidden="1">[10]XREF!#REF!</definedName>
    <definedName name="XRefPaste23Row" hidden="1">[10]XREF!#REF!</definedName>
    <definedName name="XRefPaste24Row" hidden="1">[10]XREF!#REF!</definedName>
    <definedName name="XRefPaste25Row" hidden="1">[10]XREF!#REF!</definedName>
    <definedName name="XRefPaste26Row" hidden="1">[10]XREF!#REF!</definedName>
    <definedName name="XRefPaste27Row" hidden="1">[10]XREF!#REF!</definedName>
    <definedName name="XRefPaste28Row" hidden="1">[10]XREF!#REF!</definedName>
    <definedName name="XRefPaste29Row" hidden="1">[10]XREF!#REF!</definedName>
    <definedName name="XRefPaste2Row" hidden="1">[44]XREF!$A$3:$IV$3</definedName>
    <definedName name="XRefPaste3" hidden="1">'[44]8180 (8181,8182)'!$O$20</definedName>
    <definedName name="XRefPaste30Row" hidden="1">[10]XREF!#REF!</definedName>
    <definedName name="XRefPaste31Row" hidden="1">[10]XREF!#REF!</definedName>
    <definedName name="XRefPaste32Row" hidden="1">[10]XREF!#REF!</definedName>
    <definedName name="XRefPaste33Row" hidden="1">[10]XREF!#REF!</definedName>
    <definedName name="XRefPaste34Row" hidden="1">[10]XREF!#REF!</definedName>
    <definedName name="XRefPaste35Row" hidden="1">[10]XREF!#REF!</definedName>
    <definedName name="XRefPaste36Row" hidden="1">[10]XREF!#REF!</definedName>
    <definedName name="XRefPaste37Row" hidden="1">[10]XREF!#REF!</definedName>
    <definedName name="XRefPaste38Row" hidden="1">[10]XREF!#REF!</definedName>
    <definedName name="XRefPaste39Row" hidden="1">[10]XREF!#REF!</definedName>
    <definedName name="XRefPaste3Row" hidden="1">[44]XREF!$A$4:$IV$4</definedName>
    <definedName name="XRefPaste4" hidden="1">'[44]8210'!$O$18</definedName>
    <definedName name="XRefPaste40Row" hidden="1">[10]XREF!#REF!</definedName>
    <definedName name="XRefPaste41Row" hidden="1">[10]XREF!#REF!</definedName>
    <definedName name="XRefPaste42Row" hidden="1">[10]XREF!#REF!</definedName>
    <definedName name="XRefPaste43Row" hidden="1">[10]XREF!#REF!</definedName>
    <definedName name="XRefPaste44Row" hidden="1">[10]XREF!#REF!</definedName>
    <definedName name="XRefPaste45Row" hidden="1">[10]XREF!#REF!</definedName>
    <definedName name="XRefPaste46Row" hidden="1">[10]XREF!#REF!</definedName>
    <definedName name="XRefPaste47Row" hidden="1">[10]XREF!#REF!</definedName>
    <definedName name="XRefPaste48Row" hidden="1">[10]XREF!#REF!</definedName>
    <definedName name="XRefPaste49Row" hidden="1">[10]XREF!#REF!</definedName>
    <definedName name="XRefPaste4Row" hidden="1">[44]XREF!$A$5:$IV$5</definedName>
    <definedName name="XRefPaste5" hidden="1">'[44]8250'!$C$44</definedName>
    <definedName name="XRefPaste50Row" hidden="1">[10]XREF!#REF!</definedName>
    <definedName name="XRefPaste51Row" hidden="1">[10]XREF!#REF!</definedName>
    <definedName name="XRefPaste5Row" hidden="1">[44]XREF!$A$6:$IV$6</definedName>
    <definedName name="XRefPaste6" hidden="1">'[44]8140'!$O$16</definedName>
    <definedName name="XRefPaste6Row" hidden="1">[44]XREF!$A$7:$IV$7</definedName>
    <definedName name="XRefPaste7" hidden="1">#REF!</definedName>
    <definedName name="XRefPaste7Row" hidden="1">[44]XREF!$A$8:$IV$8</definedName>
    <definedName name="XRefPaste8" hidden="1">#REF!</definedName>
    <definedName name="XRefPaste8Row" hidden="1">[44]XREF!$A$9:$IV$9</definedName>
    <definedName name="XRefPaste9" hidden="1">'[44]8070'!$O$18</definedName>
    <definedName name="XRefPaste9Row" hidden="1">[44]XREF!$A$10:$IV$10</definedName>
    <definedName name="XRefPasteRangeCount" hidden="1">1</definedName>
    <definedName name="year">#REF!</definedName>
    <definedName name="Yemen">#REF!</definedName>
    <definedName name="Yemen1">#REF!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Z_C37E65A7_9893_435E_9759_72E0D8A5DD87_.wvu.PrintTitles" hidden="1">#REF!</definedName>
    <definedName name="zheldor">#REF!</definedName>
    <definedName name="zheldorizdat">#REF!</definedName>
    <definedName name="а">#REF!</definedName>
    <definedName name="А2">#REF!</definedName>
    <definedName name="А2_13">#REF!</definedName>
    <definedName name="А2_16">#REF!</definedName>
    <definedName name="А2_17">#REF!</definedName>
    <definedName name="А2_18">#REF!</definedName>
    <definedName name="а25000">#REF!</definedName>
    <definedName name="АААААААА" localSheetId="0">[9]!АААААААА</definedName>
    <definedName name="АААААААА">[9]!АААААААА</definedName>
    <definedName name="АААААААА_11">#N/A</definedName>
    <definedName name="АААААААА_12">#N/A</definedName>
    <definedName name="АААААААА_13">#N/A</definedName>
    <definedName name="АААААААА_14">#N/A</definedName>
    <definedName name="АААААААА_16">#N/A</definedName>
    <definedName name="АААААААА_17">#N/A</definedName>
    <definedName name="АААААААА_18">#N/A</definedName>
    <definedName name="АААААААА_19">#N/A</definedName>
    <definedName name="авпрар">#REF!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м" localSheetId="0">[9]!ам</definedName>
    <definedName name="ам">[9]!ам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п" localSheetId="0">[9]!ап</definedName>
    <definedName name="ап">[9]!ап</definedName>
    <definedName name="ап_11">#N/A</definedName>
    <definedName name="ап_12">#N/A</definedName>
    <definedName name="ап_13">#N/A</definedName>
    <definedName name="ап_14">#N/A</definedName>
    <definedName name="ап_16">#N/A</definedName>
    <definedName name="ап_17">#N/A</definedName>
    <definedName name="ап_18">#N/A</definedName>
    <definedName name="ап_19">#N/A</definedName>
    <definedName name="апа">#N/A</definedName>
    <definedName name="апвавваапвваав" hidden="1">{#N/A,#N/A,TRUE,"Лист1";#N/A,#N/A,TRUE,"Лист2";#N/A,#N/A,TRUE,"Лист3"}</definedName>
    <definedName name="апвп">[29]Форма2!$C$19:$C$24,[29]Форма2!$E$19:$F$24,[29]Форма2!$D$26:$F$31,[29]Форма2!$C$33:$C$38,[29]Форма2!$E$33:$F$38,[29]Форма2!$D$40:$F$43,[29]Форма2!$C$45:$C$48,[29]Форма2!$E$45:$F$48,[29]Форма2!$C$19</definedName>
    <definedName name="апп" localSheetId="0">[9]!апп</definedName>
    <definedName name="апп">[9]!апп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с" localSheetId="0">[9]!ас</definedName>
    <definedName name="ас">[9]!ас</definedName>
    <definedName name="_xlnm.Database">#REF!</definedName>
    <definedName name="баланс" localSheetId="0">[9]!баланс</definedName>
    <definedName name="баланс">[9]!баланс</definedName>
    <definedName name="Бери">[47]Форма2!$D$129:$F$132,[47]Форма2!$D$134:$F$135,[47]Форма2!$D$137:$F$140,[47]Форма2!$D$142:$F$144,[47]Форма2!$D$146:$F$150,[47]Форма2!$D$152:$F$154,[47]Форма2!$D$156:$F$162,[47]Форма2!$D$129</definedName>
    <definedName name="Берик">[47]Форма2!$C$70:$C$72,[47]Форма2!$D$73:$F$73,[47]Форма2!$E$70:$F$72,[47]Форма2!$C$75:$C$77,[47]Форма2!$E$75:$F$77,[47]Форма2!$C$79:$C$82,[47]Форма2!$E$79:$F$82,[47]Форма2!$C$84:$C$86,[47]Форма2!$E$84:$F$86,[47]Форма2!$C$88:$C$89,[47]Форма2!$E$88:$F$89,[47]Форма2!$C$70</definedName>
    <definedName name="биржа">[48]База!$A$1:$T$65536</definedName>
    <definedName name="биржа1">[48]База!$B$1:$T$65536</definedName>
    <definedName name="БЛРаздел1">[49]Форма2!$C$19:$C$24,[49]Форма2!$E$19:$F$24,[49]Форма2!$D$26:$F$31,[49]Форма2!$C$33:$C$38,[49]Форма2!$E$33:$F$38,[49]Форма2!$D$40:$F$43,[49]Форма2!$C$45:$C$48,[49]Форма2!$E$45:$F$48,[49]Форма2!$C$19</definedName>
    <definedName name="БЛРаздел1_13">[50]Форма2!$C$19:$C$24,[50]Форма2!$E$19:$F$24,[50]Форма2!$D$26:$F$31,[50]Форма2!$C$33:$C$38,[50]Форма2!$E$33:$F$38,[50]Форма2!$D$40:$F$43,[50]Форма2!$C$45:$C$48,[50]Форма2!$E$45:$F$48,[50]Форма2!$C$19</definedName>
    <definedName name="БЛРаздел1_16">[50]Форма2!$C$19:$C$24,[50]Форма2!$E$19:$F$24,[50]Форма2!$D$26:$F$31,[50]Форма2!$C$33:$C$38,[50]Форма2!$E$33:$F$38,[50]Форма2!$D$40:$F$43,[50]Форма2!$C$45:$C$48,[50]Форма2!$E$45:$F$48,[50]Форма2!$C$19</definedName>
    <definedName name="БЛРаздел1_17">[51]Форма2!$C$19:$C$24,[51]Форма2!$E$19:$F$24,[51]Форма2!$D$26:$F$31,[51]Форма2!$C$33:$C$38,[51]Форма2!$E$33:$F$38,[51]Форма2!$D$40:$F$43,[51]Форма2!$C$45:$C$48,[51]Форма2!$E$45:$F$48,[51]Форма2!$C$19</definedName>
    <definedName name="БЛРаздел1_18">[50]Форма2!$C$19:$C$24,[50]Форма2!$E$19:$F$24,[50]Форма2!$D$26:$F$31,[50]Форма2!$C$33:$C$38,[50]Форма2!$E$33:$F$38,[50]Форма2!$D$40:$F$43,[50]Форма2!$C$45:$C$48,[50]Форма2!$E$45:$F$48,[50]Форма2!$C$19</definedName>
    <definedName name="БЛРаздел2">[49]Форма2!$C$51:$C$58,[49]Форма2!$E$51:$F$58,[49]Форма2!$C$60:$C$63,[49]Форма2!$E$60:$F$63,[49]Форма2!$C$65:$C$67,[49]Форма2!$E$65:$F$67,[49]Форма2!$C$51</definedName>
    <definedName name="БЛРаздел2_13">[50]Форма2!$C$51:$C$58,[50]Форма2!$E$51:$F$58,[50]Форма2!$C$60:$C$63,[50]Форма2!$E$60:$F$63,[50]Форма2!$C$65:$C$67,[50]Форма2!$E$65:$F$67,[50]Форма2!$C$51</definedName>
    <definedName name="БЛРаздел2_16">[50]Форма2!$C$51:$C$58,[50]Форма2!$E$51:$F$58,[50]Форма2!$C$60:$C$63,[50]Форма2!$E$60:$F$63,[50]Форма2!$C$65:$C$67,[50]Форма2!$E$65:$F$67,[50]Форма2!$C$51</definedName>
    <definedName name="БЛРаздел2_17">[51]Форма2!$C$51:$C$58,[51]Форма2!$E$51:$F$58,[51]Форма2!$C$60:$C$63,[51]Форма2!$E$60:$F$63,[51]Форма2!$C$65:$C$67,[51]Форма2!$E$65:$F$67,[51]Форма2!$C$51</definedName>
    <definedName name="БЛРаздел2_18">[50]Форма2!$C$51:$C$58,[50]Форма2!$E$51:$F$58,[50]Форма2!$C$60:$C$63,[50]Форма2!$E$60:$F$63,[50]Форма2!$C$65:$C$67,[50]Форма2!$E$65:$F$67,[50]Форма2!$C$51</definedName>
    <definedName name="БЛРаздел3">[49]Форма2!$C$70:$C$72,[49]Форма2!$D$73:$F$73,[49]Форма2!$E$70:$F$72,[49]Форма2!$C$75:$C$77,[49]Форма2!$E$75:$F$77,[49]Форма2!$C$79:$C$82,[49]Форма2!$E$79:$F$82,[49]Форма2!$C$84:$C$86,[49]Форма2!$E$84:$F$86,[49]Форма2!$C$88:$C$89,[49]Форма2!$E$88:$F$89,[49]Форма2!$C$70</definedName>
    <definedName name="БЛРаздел3_13">[50]Форма2!$C$70:$C$72,[50]Форма2!$D$73:$F$73,[50]Форма2!$E$70:$F$72,[50]Форма2!$C$75:$C$77,[50]Форма2!$E$75:$F$77,[50]Форма2!$C$79:$C$82,[50]Форма2!$E$79:$F$82,[50]Форма2!$C$84:$C$86,[50]Форма2!$E$84:$F$86,[50]Форма2!$C$88:$C$89,[50]Форма2!$E$88:$F$89,[50]Форма2!$C$70</definedName>
    <definedName name="БЛРаздел3_16">[50]Форма2!$C$70:$C$72,[50]Форма2!$D$73:$F$73,[50]Форма2!$E$70:$F$72,[50]Форма2!$C$75:$C$77,[50]Форма2!$E$75:$F$77,[50]Форма2!$C$79:$C$82,[50]Форма2!$E$79:$F$82,[50]Форма2!$C$84:$C$86,[50]Форма2!$E$84:$F$86,[50]Форма2!$C$88:$C$89,[50]Форма2!$E$88:$F$89,[50]Форма2!$C$70</definedName>
    <definedName name="БЛРаздел3_17">[51]Форма2!$C$70:$C$72,[51]Форма2!$D$73:$F$73,[51]Форма2!$E$70:$F$72,[51]Форма2!$C$75:$C$77,[51]Форма2!$E$75:$F$77,[51]Форма2!$C$79:$C$82,[51]Форма2!$E$79:$F$82,[51]Форма2!$C$84:$C$86,[51]Форма2!$E$84:$F$86,[51]Форма2!$C$88:$C$89,[51]Форма2!$E$88:$F$89,[51]Форма2!$C$70</definedName>
    <definedName name="БЛРаздел3_18">[50]Форма2!$C$70:$C$72,[50]Форма2!$D$73:$F$73,[50]Форма2!$E$70:$F$72,[50]Форма2!$C$75:$C$77,[50]Форма2!$E$75:$F$77,[50]Форма2!$C$79:$C$82,[50]Форма2!$E$79:$F$82,[50]Форма2!$C$84:$C$86,[50]Форма2!$E$84:$F$86,[50]Форма2!$C$88:$C$89,[50]Форма2!$E$88:$F$89,[50]Форма2!$C$70</definedName>
    <definedName name="БЛРаздел4">[49]Форма2!$E$106:$F$107,[49]Форма2!$C$106:$C$107,[49]Форма2!$E$102:$F$104,[49]Форма2!$C$102:$C$104,[49]Форма2!$C$97:$C$100,[49]Форма2!$E$97:$F$100,[49]Форма2!$E$92:$F$95,[49]Форма2!$C$92:$C$95,[49]Форма2!$C$92</definedName>
    <definedName name="БЛРаздел4_13">[50]Форма2!$E$106:$F$107,[50]Форма2!$C$106:$C$107,[50]Форма2!$E$102:$F$104,[50]Форма2!$C$102:$C$104,[50]Форма2!$C$97:$C$100,[50]Форма2!$E$97:$F$100,[50]Форма2!$E$92:$F$95,[50]Форма2!$C$92:$C$95,[50]Форма2!$C$92</definedName>
    <definedName name="БЛРаздел4_16">[50]Форма2!$E$106:$F$107,[50]Форма2!$C$106:$C$107,[50]Форма2!$E$102:$F$104,[50]Форма2!$C$102:$C$104,[50]Форма2!$C$97:$C$100,[50]Форма2!$E$97:$F$100,[50]Форма2!$E$92:$F$95,[50]Форма2!$C$92:$C$95,[50]Форма2!$C$92</definedName>
    <definedName name="БЛРаздел4_17">[51]Форма2!$E$106:$F$107,[51]Форма2!$C$106:$C$107,[51]Форма2!$E$102:$F$104,[51]Форма2!$C$102:$C$104,[51]Форма2!$C$97:$C$100,[51]Форма2!$E$97:$F$100,[51]Форма2!$E$92:$F$95,[51]Форма2!$C$92:$C$95,[51]Форма2!$C$92</definedName>
    <definedName name="БЛРаздел4_18">[50]Форма2!$E$106:$F$107,[50]Форма2!$C$106:$C$107,[50]Форма2!$E$102:$F$104,[50]Форма2!$C$102:$C$104,[50]Форма2!$C$97:$C$100,[50]Форма2!$E$97:$F$100,[50]Форма2!$E$92:$F$95,[50]Форма2!$C$92:$C$95,[50]Форма2!$C$92</definedName>
    <definedName name="БЛРаздел5">[49]Форма2!$C$113:$C$114,[49]Форма2!$D$110:$F$112,[49]Форма2!$E$113:$F$114,[49]Форма2!$D$115:$F$115,[49]Форма2!$D$117:$F$119,[49]Форма2!$D$121:$F$122,[49]Форма2!$D$124:$F$126,[49]Форма2!$D$110</definedName>
    <definedName name="БЛРаздел5_13">[50]Форма2!$C$113:$C$114,[50]Форма2!$D$110:$F$112,[50]Форма2!$E$113:$F$114,[50]Форма2!$D$115:$F$115,[50]Форма2!$D$117:$F$119,[50]Форма2!$D$121:$F$122,[50]Форма2!$D$124:$F$126,[50]Форма2!$D$110</definedName>
    <definedName name="БЛРаздел5_16">[50]Форма2!$C$113:$C$114,[50]Форма2!$D$110:$F$112,[50]Форма2!$E$113:$F$114,[50]Форма2!$D$115:$F$115,[50]Форма2!$D$117:$F$119,[50]Форма2!$D$121:$F$122,[50]Форма2!$D$124:$F$126,[50]Форма2!$D$110</definedName>
    <definedName name="БЛРаздел5_17">[51]Форма2!$C$113:$C$114,[51]Форма2!$D$110:$F$112,[51]Форма2!$E$113:$F$114,[51]Форма2!$D$115:$F$115,[51]Форма2!$D$117:$F$119,[51]Форма2!$D$121:$F$122,[51]Форма2!$D$124:$F$126,[51]Форма2!$D$110</definedName>
    <definedName name="БЛРаздел5_18">[50]Форма2!$C$113:$C$114,[50]Форма2!$D$110:$F$112,[50]Форма2!$E$113:$F$114,[50]Форма2!$D$115:$F$115,[50]Форма2!$D$117:$F$119,[50]Форма2!$D$121:$F$122,[50]Форма2!$D$124:$F$126,[50]Форма2!$D$110</definedName>
    <definedName name="БЛРаздел6">[49]Форма2!$D$129:$F$132,[49]Форма2!$D$134:$F$135,[49]Форма2!$D$137:$F$140,[49]Форма2!$D$142:$F$144,[49]Форма2!$D$146:$F$150,[49]Форма2!$D$152:$F$154,[49]Форма2!$D$156:$F$162,[49]Форма2!$D$129</definedName>
    <definedName name="БЛРаздел6_13">[50]Форма2!$D$129:$F$132,[50]Форма2!$D$134:$F$135,[50]Форма2!$D$137:$F$140,[50]Форма2!$D$142:$F$144,[50]Форма2!$D$146:$F$150,[50]Форма2!$D$152:$F$154,[50]Форма2!$D$156:$F$162,[50]Форма2!$D$129</definedName>
    <definedName name="БЛРаздел6_16">[50]Форма2!$D$129:$F$132,[50]Форма2!$D$134:$F$135,[50]Форма2!$D$137:$F$140,[50]Форма2!$D$142:$F$144,[50]Форма2!$D$146:$F$150,[50]Форма2!$D$152:$F$154,[50]Форма2!$D$156:$F$162,[50]Форма2!$D$129</definedName>
    <definedName name="БЛРаздел6_17">[51]Форма2!$D$129:$F$132,[51]Форма2!$D$134:$F$135,[51]Форма2!$D$137:$F$140,[51]Форма2!$D$142:$F$144,[51]Форма2!$D$146:$F$150,[51]Форма2!$D$152:$F$154,[51]Форма2!$D$156:$F$162,[51]Форма2!$D$129</definedName>
    <definedName name="БЛРаздел6_18">[50]Форма2!$D$129:$F$132,[50]Форма2!$D$134:$F$135,[50]Форма2!$D$137:$F$140,[50]Форма2!$D$142:$F$144,[50]Форма2!$D$146:$F$150,[50]Форма2!$D$152:$F$154,[50]Форма2!$D$156:$F$162,[50]Форма2!$D$129</definedName>
    <definedName name="БЛРаздел7">[49]Форма2!$D$179:$F$185,[49]Форма2!$D$175:$F$177,[49]Форма2!$D$165:$F$173,[49]Форма2!$D$165</definedName>
    <definedName name="БЛРаздел7_13">[50]Форма2!$D$179:$F$185,[50]Форма2!$D$175:$F$177,[50]Форма2!$D$165:$F$173,[50]Форма2!$D$165</definedName>
    <definedName name="БЛРаздел7_16">[50]Форма2!$D$179:$F$185,[50]Форма2!$D$175:$F$177,[50]Форма2!$D$165:$F$173,[50]Форма2!$D$165</definedName>
    <definedName name="БЛРаздел7_17">[51]Форма2!$D$179:$F$185,[51]Форма2!$D$175:$F$177,[51]Форма2!$D$165:$F$173,[51]Форма2!$D$165</definedName>
    <definedName name="БЛРаздел7_18">[50]Форма2!$D$179:$F$185,[50]Форма2!$D$175:$F$177,[50]Форма2!$D$165:$F$173,[50]Форма2!$D$165</definedName>
    <definedName name="БЛРаздел8">[49]Форма2!$E$200:$F$207,[49]Форма2!$C$200:$C$207,[49]Форма2!$E$189:$F$198,[49]Форма2!$C$189:$C$198,[49]Форма2!$E$188:$F$188,[49]Форма2!$C$188</definedName>
    <definedName name="БЛРаздел8_13">[50]Форма2!$E$200:$F$207,[50]Форма2!$C$200:$C$207,[50]Форма2!$E$189:$F$198,[50]Форма2!$C$189:$C$198,[50]Форма2!$E$188:$F$188,[50]Форма2!$C$188</definedName>
    <definedName name="БЛРаздел8_16">[50]Форма2!$E$200:$F$207,[50]Форма2!$C$200:$C$207,[50]Форма2!$E$189:$F$198,[50]Форма2!$C$189:$C$198,[50]Форма2!$E$188:$F$188,[50]Форма2!$C$188</definedName>
    <definedName name="БЛРаздел8_17">[51]Форма2!$E$200:$F$207,[51]Форма2!$C$200:$C$207,[51]Форма2!$E$189:$F$198,[51]Форма2!$C$189:$C$198,[51]Форма2!$E$188:$F$188,[51]Форма2!$C$188</definedName>
    <definedName name="БЛРаздел8_18">[50]Форма2!$E$200:$F$207,[50]Форма2!$C$200:$C$207,[50]Форма2!$E$189:$F$198,[50]Форма2!$C$189:$C$198,[50]Форма2!$E$188:$F$188,[50]Форма2!$C$188</definedName>
    <definedName name="БЛРаздел9">[49]Форма2!$E$234:$F$237,[49]Форма2!$C$234:$C$237,[49]Форма2!$E$224:$F$232,[49]Форма2!$C$224:$C$232,[49]Форма2!$E$223:$F$223,[49]Форма2!$C$223,[49]Форма2!$E$217:$F$221,[49]Форма2!$C$217:$C$221,[49]Форма2!$E$210:$F$215,[49]Форма2!$C$210:$C$215,[49]Форма2!$C$210</definedName>
    <definedName name="БЛРаздел9_13">[50]Форма2!$E$234:$F$237,[50]Форма2!$C$234:$C$237,[50]Форма2!$E$224:$F$232,[50]Форма2!$C$224:$C$232,[50]Форма2!$E$223:$F$223,[50]Форма2!$C$223,[50]Форма2!$E$217:$F$221,[50]Форма2!$C$217:$C$221,[50]Форма2!$E$210:$F$215,[50]Форма2!$C$210:$C$215,[50]Форма2!$C$210</definedName>
    <definedName name="БЛРаздел9_16">[50]Форма2!$E$234:$F$237,[50]Форма2!$C$234:$C$237,[50]Форма2!$E$224:$F$232,[50]Форма2!$C$224:$C$232,[50]Форма2!$E$223:$F$223,[50]Форма2!$C$223,[50]Форма2!$E$217:$F$221,[50]Форма2!$C$217:$C$221,[50]Форма2!$E$210:$F$215,[50]Форма2!$C$210:$C$215,[50]Форма2!$C$210</definedName>
    <definedName name="БЛРаздел9_17">[51]Форма2!$E$234:$F$237,[51]Форма2!$C$234:$C$237,[51]Форма2!$E$224:$F$232,[51]Форма2!$C$224:$C$232,[51]Форма2!$E$223:$F$223,[51]Форма2!$C$223,[51]Форма2!$E$217:$F$221,[51]Форма2!$C$217:$C$221,[51]Форма2!$E$210:$F$215,[51]Форма2!$C$210:$C$215,[51]Форма2!$C$210</definedName>
    <definedName name="БЛРаздел9_18">[50]Форма2!$E$234:$F$237,[50]Форма2!$C$234:$C$237,[50]Форма2!$E$224:$F$232,[50]Форма2!$C$224:$C$232,[50]Форма2!$E$223:$F$223,[50]Форма2!$C$223,[50]Форма2!$E$217:$F$221,[50]Форма2!$C$217:$C$221,[50]Форма2!$E$210:$F$215,[50]Форма2!$C$210:$C$215,[50]Форма2!$C$210</definedName>
    <definedName name="БО5" localSheetId="0">[9]!БО5</definedName>
    <definedName name="БО5">[9]!БО5</definedName>
    <definedName name="БПДанные">[49]Форма1!$C$22:$D$33,[49]Форма1!$C$36:$D$48,[49]Форма1!$C$22</definedName>
    <definedName name="БПДанные_13">[50]Форма1!$C$22:$D$33,[50]Форма1!$C$36:$D$48,[50]Форма1!$C$22</definedName>
    <definedName name="БПДанные_16">[50]Форма1!$C$22:$D$33,[50]Форма1!$C$36:$D$48,[50]Форма1!$C$22</definedName>
    <definedName name="БПДанные_17">[51]Форма1!$C$22:$D$33,[51]Форма1!$C$36:$D$48,[51]Форма1!$C$22</definedName>
    <definedName name="БПДанные_18">[50]Форма1!$C$22:$D$33,[50]Форма1!$C$36:$D$48,[50]Форма1!$C$22</definedName>
    <definedName name="Бюджет__по__подразд__2003__года_Лист1_Таблица">[52]ОТиТБ!#REF!</definedName>
    <definedName name="в" localSheetId="0">[9]!в</definedName>
    <definedName name="в">[9]!в</definedName>
    <definedName name="в23ё" localSheetId="0">[9]!в23ё</definedName>
    <definedName name="в23ё">[9]!в23ё</definedName>
    <definedName name="в23ё_11">#N/A</definedName>
    <definedName name="в23ё_12">#N/A</definedName>
    <definedName name="в23ё_13">#N/A</definedName>
    <definedName name="в23ё_14">#N/A</definedName>
    <definedName name="в23ё_16">#N/A</definedName>
    <definedName name="в23ё_17">#N/A</definedName>
    <definedName name="в23ё_18">#N/A</definedName>
    <definedName name="в23ё_19">#N/A</definedName>
    <definedName name="В32">#REF!</definedName>
    <definedName name="ВАЛЮТА">'[23]1'!$A$5</definedName>
    <definedName name="вапв" hidden="1">{#N/A,#N/A,TRUE,"Лист1";#N/A,#N/A,TRUE,"Лист2";#N/A,#N/A,TRUE,"Лист3"}</definedName>
    <definedName name="вар" hidden="1">{#N/A,#N/A,FALSE,"МТВ"}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б">[53]Пр2!#REF!</definedName>
    <definedName name="вв" localSheetId="0">[9]!вв</definedName>
    <definedName name="вв">[9]!вв</definedName>
    <definedName name="вв_11">#N/A</definedName>
    <definedName name="вв_12">#N/A</definedName>
    <definedName name="вв_13">#N/A</definedName>
    <definedName name="вв_14">#N/A</definedName>
    <definedName name="вв_16">#N/A</definedName>
    <definedName name="вв_17">#N/A</definedName>
    <definedName name="вв_18">#N/A</definedName>
    <definedName name="вв_19">#N/A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торой">#REF!</definedName>
    <definedName name="вуув" hidden="1">{#N/A,#N/A,TRUE,"Лист1";#N/A,#N/A,TRUE,"Лист2";#N/A,#N/A,TRUE,"Лист3"}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г">#REF!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рафик_2">#REF!</definedName>
    <definedName name="графики_Темиржолсу">#REF!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ульсум" localSheetId="0">[9]!гульсум</definedName>
    <definedName name="гульсум">[9]!гульсум</definedName>
    <definedName name="д">#REF!</definedName>
    <definedName name="д1">#REF!</definedName>
    <definedName name="д2">#REF!</definedName>
    <definedName name="д3">#REF!</definedName>
    <definedName name="д4">#REF!</definedName>
    <definedName name="дата">'[23]Список документов'!$B$2</definedName>
    <definedName name="Дата_справки">#REF!</definedName>
    <definedName name="дебит">'[54]из сем'!$A$2:$B$362</definedName>
    <definedName name="дмтс">#REF!</definedName>
    <definedName name="Добыча">'[55]Добыча нефти4'!$F$11:$Q$12</definedName>
    <definedName name="Добыча_13">'[56]Добыча нефти4'!$F$11:$Q$12</definedName>
    <definedName name="Добыча_16">'[56]Добыча нефти4'!$F$11:$Q$12</definedName>
    <definedName name="Добыча_18">'[56]Добыча нефти4'!$F$11:$Q$12</definedName>
    <definedName name="Доз5">#REF!</definedName>
    <definedName name="Доз5_13">#REF!</definedName>
    <definedName name="Доз5_16">#REF!</definedName>
    <definedName name="Доз5_17">#REF!</definedName>
    <definedName name="Доз5_18">#REF!</definedName>
    <definedName name="доз6">#REF!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е" localSheetId="0">[9]!е</definedName>
    <definedName name="е">[9]!е</definedName>
    <definedName name="ЕдИзм">[20]ЕдИзм!$A$1:$D$25</definedName>
    <definedName name="ЕдИзм_13">[22]ЕдИзм!$A$1:$D$25</definedName>
    <definedName name="ЕдИзм_16">[22]ЕдИзм!$A$1:$D$25</definedName>
    <definedName name="ЕдИзм_18">[22]ЕдИзм!$A$1:$D$25</definedName>
    <definedName name="ж">#REF!</definedName>
    <definedName name="знач" localSheetId="0">[9]!знач</definedName>
    <definedName name="знач">[9]!знач</definedName>
    <definedName name="И">'[10]д.7.001'!#REF!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мпорт">#REF!</definedName>
    <definedName name="импорт_13">#REF!</definedName>
    <definedName name="импорт_16">#REF!</definedName>
    <definedName name="импорт_18">#REF!</definedName>
    <definedName name="имя">#REF!</definedName>
    <definedName name="индплан">#REF!</definedName>
    <definedName name="индцкавг98" hidden="1">{#N/A,#N/A,TRUE,"Лист1";#N/A,#N/A,TRUE,"Лист2";#N/A,#N/A,TRUE,"Лист3"}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й" localSheetId="0">[9]!й</definedName>
    <definedName name="й">[9]!й</definedName>
    <definedName name="й_11">#N/A</definedName>
    <definedName name="й_12">#N/A</definedName>
    <definedName name="й_13">#N/A</definedName>
    <definedName name="й_14">#N/A</definedName>
    <definedName name="й_16">#N/A</definedName>
    <definedName name="й_17">#N/A</definedName>
    <definedName name="й_18">#N/A</definedName>
    <definedName name="й_19">#N/A</definedName>
    <definedName name="йй" localSheetId="0">[9]!йй</definedName>
    <definedName name="йй">[9]!йй</definedName>
    <definedName name="йй_11">#N/A</definedName>
    <definedName name="йй_12">#N/A</definedName>
    <definedName name="йй_13">#N/A</definedName>
    <definedName name="йй_14">#N/A</definedName>
    <definedName name="йй_16">#N/A</definedName>
    <definedName name="йй_17">#N/A</definedName>
    <definedName name="йй_18">#N/A</definedName>
    <definedName name="йй_19">#N/A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ссовый" localSheetId="0">[9]!кассовый</definedName>
    <definedName name="кассовый">[9]!кассовый</definedName>
    <definedName name="ке" localSheetId="0">[9]!ке</definedName>
    <definedName name="ке">[9]!ке</definedName>
    <definedName name="ке_11">#N/A</definedName>
    <definedName name="ке_12">#N/A</definedName>
    <definedName name="ке_13">#N/A</definedName>
    <definedName name="ке_14">#N/A</definedName>
    <definedName name="ке_16">#N/A</definedName>
    <definedName name="ке_17">#N/A</definedName>
    <definedName name="ке_18">#N/A</definedName>
    <definedName name="ке_19">#N/A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к" hidden="1">{#N/A,#N/A,TRUE,"Лист1";#N/A,#N/A,TRUE,"Лист2";#N/A,#N/A,TRUE,"Лист3"}</definedName>
    <definedName name="Консолидация">#REF!</definedName>
    <definedName name="копия" localSheetId="0">[9]!копия</definedName>
    <definedName name="копия">[9]!копия</definedName>
    <definedName name="КТЖ" localSheetId="0">[9]!КТЖ</definedName>
    <definedName name="КТЖ">[9]!КТЖ</definedName>
    <definedName name="курс">#REF!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" localSheetId="0">[9]!л</definedName>
    <definedName name="л">[9]!л</definedName>
    <definedName name="Ликвидация">#REF!</definedName>
    <definedName name="лист">#N/A</definedName>
    <definedName name="лист1">#REF!</definedName>
    <definedName name="лист1_1">#N/A</definedName>
    <definedName name="лист2">#N/A</definedName>
    <definedName name="ллл">#REF!</definedName>
    <definedName name="Макрос1" localSheetId="0">[9]!Макрос1</definedName>
    <definedName name="Макрос1">[9]!Макрос1</definedName>
    <definedName name="Макрос2">#REF!</definedName>
    <definedName name="Макрос3">#REF!</definedName>
    <definedName name="Макрос4">#REF!</definedName>
    <definedName name="мбр">[53]Пр2!#REF!</definedName>
    <definedName name="мес" hidden="1">{#N/A,#N/A,TRUE,"Лист1";#N/A,#N/A,TRUE,"Лист2";#N/A,#N/A,TRUE,"Лист3"}</definedName>
    <definedName name="ммм">#REF!</definedName>
    <definedName name="мпр">#REF!</definedName>
    <definedName name="МРП">#REF!</definedName>
    <definedName name="мым" localSheetId="0">[9]!мым</definedName>
    <definedName name="мым">[9]!мым</definedName>
    <definedName name="мым_11">#N/A</definedName>
    <definedName name="мым_12">#N/A</definedName>
    <definedName name="мым_13">#N/A</definedName>
    <definedName name="мым_14">#N/A</definedName>
    <definedName name="мым_16">#N/A</definedName>
    <definedName name="мым_17">#N/A</definedName>
    <definedName name="мым_18">#N/A</definedName>
    <definedName name="мым_19">#N/A</definedName>
    <definedName name="налогКЖДТ">#REF!</definedName>
    <definedName name="налогКТЖ">#REF!</definedName>
    <definedName name="налогЛокомотив">#REF!</definedName>
    <definedName name="Нстроки">#REF!</definedName>
    <definedName name="о" localSheetId="0">[9]!о</definedName>
    <definedName name="о">[9]!о</definedName>
    <definedName name="Общие">#REF!</definedName>
    <definedName name="окт">#REF!</definedName>
    <definedName name="окт2">#REF!</definedName>
    <definedName name="окт3">#REF!</definedName>
    <definedName name="олд">#REF!</definedName>
    <definedName name="оплата">#REF!</definedName>
    <definedName name="оплата2">#REF!</definedName>
    <definedName name="Ора">'[57]поставка сравн13'!$A$1:$Q$30</definedName>
    <definedName name="Ораз">[47]Форма2!$D$179:$F$185,[47]Форма2!$D$175:$F$177,[47]Форма2!$D$165:$F$173,[47]Форма2!$D$165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статок">#REF!</definedName>
    <definedName name="ПВД1">#REF!</definedName>
    <definedName name="первый">#REF!</definedName>
    <definedName name="Период_отгрузки">#REF!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_к_печати_и_сохранение0710" localSheetId="0">[9]!Подготовка_к_печати_и_сохранение0710</definedName>
    <definedName name="Подготовка_к_печати_и_сохранение0710">[9]!Подготовка_к_печати_и_сохранение0710</definedName>
    <definedName name="пол" localSheetId="0">[9]!пол</definedName>
    <definedName name="пол">[9]!пол</definedName>
    <definedName name="пп">#N/A</definedName>
    <definedName name="ппп" localSheetId="0">[9]!ппп</definedName>
    <definedName name="ппп">[9]!ппп</definedName>
    <definedName name="пппп" localSheetId="0">[9]!пппп</definedName>
    <definedName name="пппп">[9]!пппп</definedName>
    <definedName name="пр" localSheetId="0">[9]!пр</definedName>
    <definedName name="пр">[9]!пр</definedName>
    <definedName name="Предприятия">'[58]#ССЫЛКА'!$A$1:$D$64</definedName>
    <definedName name="Предприятия_13">#REF!</definedName>
    <definedName name="Предприятия_16">#REF!</definedName>
    <definedName name="Предприятия_18">#REF!</definedName>
    <definedName name="прибыль3" hidden="1">{#N/A,#N/A,TRUE,"Лист1";#N/A,#N/A,TRUE,"Лист2";#N/A,#N/A,TRUE,"Лист3"}</definedName>
    <definedName name="Прог">#REF!</definedName>
    <definedName name="пррррр">#REF!</definedName>
    <definedName name="прррррр">#REF!</definedName>
    <definedName name="расход">#REF!</definedName>
    <definedName name="расходы">[59]Форма2!$C$51:$C$58,[59]Форма2!$E$51:$F$58,[59]Форма2!$C$60:$C$63,[59]Форма2!$E$60:$F$63,[59]Форма2!$C$65:$C$67,[59]Форма2!$E$65:$F$67,[59]Форма2!$C$51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еализация">#REF!</definedName>
    <definedName name="_xlnm.Recorder">#REF!</definedName>
    <definedName name="рис1" hidden="1">{#N/A,#N/A,TRUE,"Лист1";#N/A,#N/A,TRUE,"Лист2";#N/A,#N/A,TRUE,"Лист3"}</definedName>
    <definedName name="рол">#REF!</definedName>
    <definedName name="рп" localSheetId="0">[9]!рп</definedName>
    <definedName name="рп">[9]!рп</definedName>
    <definedName name="рпопо" hidden="1">{#N/A,#N/A,TRUE,"Лист1";#N/A,#N/A,TRUE,"Лист2";#N/A,#N/A,TRUE,"Лист3"}</definedName>
    <definedName name="рррр" localSheetId="0">[9]!рррр</definedName>
    <definedName name="рррр">[9]!рррр</definedName>
    <definedName name="с" localSheetId="0">[9]!с</definedName>
    <definedName name="с">[9]!с</definedName>
    <definedName name="с_11">#N/A</definedName>
    <definedName name="с_12">#N/A</definedName>
    <definedName name="с_13">#N/A</definedName>
    <definedName name="с_14">#N/A</definedName>
    <definedName name="с_16">#N/A</definedName>
    <definedName name="с_17">#N/A</definedName>
    <definedName name="с_18">#N/A</definedName>
    <definedName name="с_19">#N/A</definedName>
    <definedName name="Свод" localSheetId="0">[9]!Свод</definedName>
    <definedName name="Свод">[9]!Свод</definedName>
    <definedName name="Сводный_баланс_н_п_с" localSheetId="0">[9]!Сводный_баланс_н_п_с</definedName>
    <definedName name="Сводный_баланс_н_п_с">[9]!Сводный_баланс_н_п_с</definedName>
    <definedName name="сектор">[20]Предпр!$L$3:$L$9</definedName>
    <definedName name="сектор_13">[22]Предпр!$L$3:$L$8</definedName>
    <definedName name="сектор_16">[22]Предпр!$L$3:$L$8</definedName>
    <definedName name="сектор_18">[22]Предпр!$L$3:$L$8</definedName>
    <definedName name="см">#REF!</definedName>
    <definedName name="Сохранение">#REF!</definedName>
    <definedName name="Соц.пособие">[60]ОТиТБ!#REF!</definedName>
    <definedName name="СписокТЭП">[61]СписокТЭП!$A$1:$C$40</definedName>
    <definedName name="СписокТЭП_13">[62]СписокТЭП!$A$1:$C$40</definedName>
    <definedName name="СписокТЭП_16">[62]СписокТЭП!$A$1:$C$40</definedName>
    <definedName name="СписокТЭП_18">[62]СписокТЭП!$A$1:$C$40</definedName>
    <definedName name="СрокПроекта">#REF!</definedName>
    <definedName name="сс" localSheetId="0">[9]!сс</definedName>
    <definedName name="сс">[9]!сс</definedName>
    <definedName name="сс_11">#N/A</definedName>
    <definedName name="сс_12">#N/A</definedName>
    <definedName name="сс_13">#N/A</definedName>
    <definedName name="сс_14">#N/A</definedName>
    <definedName name="сс_16">#N/A</definedName>
    <definedName name="сс_17">#N/A</definedName>
    <definedName name="сс_18">#N/A</definedName>
    <definedName name="сс_19">#N/A</definedName>
    <definedName name="сссс" localSheetId="0">[9]!сссс</definedName>
    <definedName name="сссс">[9]!сссс</definedName>
    <definedName name="сссс_11">#N/A</definedName>
    <definedName name="сссс_12">#N/A</definedName>
    <definedName name="сссс_13">#N/A</definedName>
    <definedName name="сссс_14">#N/A</definedName>
    <definedName name="сссс_16">#N/A</definedName>
    <definedName name="сссс_17">#N/A</definedName>
    <definedName name="сссс_18">#N/A</definedName>
    <definedName name="сссс_19">#N/A</definedName>
    <definedName name="ссы" localSheetId="0">[9]!ссы</definedName>
    <definedName name="ссы">[9]!ссы</definedName>
    <definedName name="ссы_11">#N/A</definedName>
    <definedName name="ссы_12">#N/A</definedName>
    <definedName name="ссы_13">#N/A</definedName>
    <definedName name="ссы_14">#N/A</definedName>
    <definedName name="ссы_16">#N/A</definedName>
    <definedName name="ссы_17">#N/A</definedName>
    <definedName name="ссы_18">#N/A</definedName>
    <definedName name="ссы_19">#N/A</definedName>
    <definedName name="СтавкаПроцента1">'[63]L-1'!$B$3</definedName>
    <definedName name="Строки">#REF!</definedName>
    <definedName name="СуммаКредита1">'[63]L-1'!$B$2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яры">#REF!</definedName>
    <definedName name="титэк">#REF!</definedName>
    <definedName name="титэк_13">#REF!</definedName>
    <definedName name="титэк_16">#REF!</definedName>
    <definedName name="титэк_18">#REF!</definedName>
    <definedName name="титэк1">#REF!</definedName>
    <definedName name="титэк1_13">#REF!</definedName>
    <definedName name="титэк1_16">#REF!</definedName>
    <definedName name="титэк1_18">#REF!</definedName>
    <definedName name="титэмба">#REF!</definedName>
    <definedName name="титэмба_13">#REF!</definedName>
    <definedName name="титэмба_16">#REF!</definedName>
    <definedName name="титэмба_18">#REF!</definedName>
    <definedName name="тп" hidden="1">{#N/A,#N/A,TRUE,"Лист1";#N/A,#N/A,TRUE,"Лист2";#N/A,#N/A,TRUE,"Лист3"}</definedName>
    <definedName name="Трансляция_F">#REF!</definedName>
    <definedName name="третий">#REF!</definedName>
    <definedName name="тьб">#REF!</definedName>
    <definedName name="у" localSheetId="0">[9]!у</definedName>
    <definedName name="у">[9]!у</definedName>
    <definedName name="у_11">#N/A</definedName>
    <definedName name="у_12">#N/A</definedName>
    <definedName name="у_13">#N/A</definedName>
    <definedName name="у_14">#N/A</definedName>
    <definedName name="у_16">#N/A</definedName>
    <definedName name="у_17">#N/A</definedName>
    <definedName name="у_18">#N/A</definedName>
    <definedName name="у_19">#N/A</definedName>
    <definedName name="Увеличение">#REF!</definedName>
    <definedName name="Узлы">#REF!</definedName>
    <definedName name="ук" localSheetId="0">[9]!ук</definedName>
    <definedName name="ук">[9]!ук</definedName>
    <definedName name="ук_11">#N/A</definedName>
    <definedName name="ук_12">#N/A</definedName>
    <definedName name="ук_13">#N/A</definedName>
    <definedName name="ук_14">#N/A</definedName>
    <definedName name="ук_16">#N/A</definedName>
    <definedName name="ук_17">#N/A</definedName>
    <definedName name="ук_18">#N/A</definedName>
    <definedName name="ук_19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ро" hidden="1">{#N/A,#N/A,TRUE,"Лист1";#N/A,#N/A,TRUE,"Лист2";#N/A,#N/A,TRUE,"Лист3"}</definedName>
    <definedName name="Уровень2">#REF!</definedName>
    <definedName name="Уровень3">#REF!</definedName>
    <definedName name="ф77">#REF!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лажок16_Щелкнуть" localSheetId="0">[9]!Флажок16_Щелкнуть</definedName>
    <definedName name="Флажок16_Щелкнуть">[9]!Флажок16_Щелкнуть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ма6">#REF!</definedName>
    <definedName name="форма6_13">#REF!</definedName>
    <definedName name="форма6_16">#REF!</definedName>
    <definedName name="форма6_18">#REF!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хх">#N/A</definedName>
    <definedName name="ц" localSheetId="0">[9]!ц</definedName>
    <definedName name="ц">[9]!ц</definedName>
    <definedName name="ц_11">#N/A</definedName>
    <definedName name="ц_12">#N/A</definedName>
    <definedName name="ц_13">#N/A</definedName>
    <definedName name="ц_14">#N/A</definedName>
    <definedName name="ц_16">#N/A</definedName>
    <definedName name="ц_17">#N/A</definedName>
    <definedName name="ц_18">#N/A</definedName>
    <definedName name="ц_19">#N/A</definedName>
    <definedName name="Цена_4">#REF!</definedName>
    <definedName name="Цена_5">#REF!</definedName>
    <definedName name="Цена_97">#REF!</definedName>
    <definedName name="цу" localSheetId="0">[9]!цу</definedName>
    <definedName name="цу">[9]!цу</definedName>
    <definedName name="цу_11">#N/A</definedName>
    <definedName name="цу_12">#N/A</definedName>
    <definedName name="цу_13">#N/A</definedName>
    <definedName name="цу_14">#N/A</definedName>
    <definedName name="цу_16">#N/A</definedName>
    <definedName name="цу_17">#N/A</definedName>
    <definedName name="цу_18">#N/A</definedName>
    <definedName name="цу_19">#N/A</definedName>
    <definedName name="цц" localSheetId="0">[9]!цц</definedName>
    <definedName name="цц">[9]!цц</definedName>
    <definedName name="цц_11">#N/A</definedName>
    <definedName name="цц_12">#N/A</definedName>
    <definedName name="цц_13">#N/A</definedName>
    <definedName name="цц_14">#N/A</definedName>
    <definedName name="цц_16">#N/A</definedName>
    <definedName name="цц_17">#N/A</definedName>
    <definedName name="цц_18">#N/A</definedName>
    <definedName name="цц_19">#N/A</definedName>
    <definedName name="четвертый">#REF!</definedName>
    <definedName name="ш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шщрзгшрз" localSheetId="0">[9]!шщрзгшрз</definedName>
    <definedName name="шщрзгшрз">[9]!шщрзгшрз</definedName>
    <definedName name="щ" localSheetId="0">[9]!щ</definedName>
    <definedName name="щ">[9]!щ</definedName>
    <definedName name="щ_11">#N/A</definedName>
    <definedName name="щ_12">#N/A</definedName>
    <definedName name="щ_13">#N/A</definedName>
    <definedName name="щ_14">#N/A</definedName>
    <definedName name="щ_16">#N/A</definedName>
    <definedName name="щ_17">#N/A</definedName>
    <definedName name="щ_18">#N/A</definedName>
    <definedName name="щ_19">#N/A</definedName>
    <definedName name="ътх" localSheetId="0">[9]!ътх</definedName>
    <definedName name="ътх">[9]!ътх</definedName>
    <definedName name="ыв" localSheetId="0">[9]!ыв</definedName>
    <definedName name="ыв">[9]!ыв</definedName>
    <definedName name="ыв_11">#N/A</definedName>
    <definedName name="ыв_12">#N/A</definedName>
    <definedName name="ыв_13">#N/A</definedName>
    <definedName name="ыв_14">#N/A</definedName>
    <definedName name="ыв_16">#N/A</definedName>
    <definedName name="ыв_17">#N/A</definedName>
    <definedName name="ыв_18">#N/A</definedName>
    <definedName name="ыв_19">#N/A</definedName>
    <definedName name="ыва" hidden="1">{#N/A,#N/A,TRUE,"Лист1";#N/A,#N/A,TRUE,"Лист2";#N/A,#N/A,TRUE,"Лист3"}</definedName>
    <definedName name="ып" localSheetId="0">[9]!ып</definedName>
    <definedName name="ып">[9]!ып</definedName>
    <definedName name="ыуаы" hidden="1">{#N/A,#N/A,TRUE,"Лист1";#N/A,#N/A,TRUE,"Лист2";#N/A,#N/A,TRUE,"Лист3"}</definedName>
    <definedName name="ыыыы" localSheetId="0">[9]!ыыыы</definedName>
    <definedName name="ыыыы">[9]!ыыыы</definedName>
    <definedName name="ыыыы_11">#N/A</definedName>
    <definedName name="ыыыы_12">#N/A</definedName>
    <definedName name="ыыыы_13">#N/A</definedName>
    <definedName name="ыыыы_14">#N/A</definedName>
    <definedName name="ыыыы_16">#N/A</definedName>
    <definedName name="ыыыы_17">#N/A</definedName>
    <definedName name="ыыыы_18">#N/A</definedName>
    <definedName name="ыыыы_19">#N/A</definedName>
    <definedName name="Экспорт_Объемы_добычи">#REF!</definedName>
    <definedName name="Экспорт_Объемы_добычи_13">#REF!</definedName>
    <definedName name="Экспорт_Объемы_добычи_16">#REF!</definedName>
    <definedName name="Экспорт_Объемы_добычи_18">#REF!</definedName>
    <definedName name="Экспорт_Поставки_нефти">'[55]поставка сравн13'!$A$1:$Q$30</definedName>
    <definedName name="Экспорт_Поставки_нефти_13">'[56]поставка сравн13'!$A$1:$Q$30</definedName>
    <definedName name="Экспорт_Поставки_нефти_16">'[56]поставка сравн13'!$A$1:$Q$30</definedName>
    <definedName name="Экспорт_Поставки_нефти_18">'[56]поставка сравн13'!$A$1:$Q$30</definedName>
    <definedName name="ээ">#REF!</definedName>
    <definedName name="юю">#REF!</definedName>
    <definedName name="яв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96" i="1" l="1"/>
  <c r="AH498" i="1" s="1"/>
  <c r="AE496" i="1"/>
  <c r="AD495" i="1"/>
  <c r="AE494" i="1"/>
  <c r="AQ491" i="1"/>
  <c r="AQ489" i="1" s="1"/>
  <c r="AP491" i="1"/>
  <c r="AL491" i="1"/>
  <c r="AJ491" i="1"/>
  <c r="AI491" i="1"/>
  <c r="AI489" i="1" s="1"/>
  <c r="AG491" i="1"/>
  <c r="AG489" i="1" s="1"/>
  <c r="AD491" i="1"/>
  <c r="AD489" i="1" s="1"/>
  <c r="Z491" i="1"/>
  <c r="X491" i="1"/>
  <c r="X489" i="1" s="1"/>
  <c r="U491" i="1"/>
  <c r="Q491" i="1"/>
  <c r="Q489" i="1" s="1"/>
  <c r="N491" i="1"/>
  <c r="J491" i="1"/>
  <c r="J489" i="1" s="1"/>
  <c r="I491" i="1"/>
  <c r="F491" i="1"/>
  <c r="F489" i="1" s="1"/>
  <c r="E491" i="1"/>
  <c r="BF490" i="1"/>
  <c r="BF488" i="1" s="1"/>
  <c r="AQ490" i="1"/>
  <c r="AL490" i="1"/>
  <c r="AI490" i="1"/>
  <c r="AG490" i="1"/>
  <c r="AD490" i="1"/>
  <c r="AJ490" i="1" s="1"/>
  <c r="AJ488" i="1" s="1"/>
  <c r="Z490" i="1"/>
  <c r="Z488" i="1" s="1"/>
  <c r="X490" i="1"/>
  <c r="U490" i="1"/>
  <c r="Q490" i="1"/>
  <c r="O490" i="1"/>
  <c r="O491" i="1" s="1"/>
  <c r="O489" i="1" s="1"/>
  <c r="N490" i="1"/>
  <c r="J490" i="1"/>
  <c r="F490" i="1"/>
  <c r="BK489" i="1"/>
  <c r="BJ489" i="1"/>
  <c r="BI489" i="1"/>
  <c r="BH489" i="1"/>
  <c r="BF489" i="1"/>
  <c r="BE489" i="1"/>
  <c r="BD489" i="1"/>
  <c r="BC489" i="1"/>
  <c r="BB489" i="1"/>
  <c r="BA489" i="1"/>
  <c r="AZ489" i="1"/>
  <c r="AY489" i="1"/>
  <c r="AX489" i="1"/>
  <c r="AW489" i="1"/>
  <c r="AV489" i="1"/>
  <c r="AU489" i="1"/>
  <c r="AT489" i="1"/>
  <c r="AS489" i="1"/>
  <c r="AR489" i="1"/>
  <c r="AP489" i="1"/>
  <c r="AO489" i="1"/>
  <c r="AN489" i="1"/>
  <c r="AM489" i="1"/>
  <c r="AK489" i="1"/>
  <c r="AJ489" i="1"/>
  <c r="AH489" i="1"/>
  <c r="AF489" i="1"/>
  <c r="AC489" i="1"/>
  <c r="AL489" i="1" s="1"/>
  <c r="Z489" i="1"/>
  <c r="Z470" i="1" s="1"/>
  <c r="W489" i="1"/>
  <c r="T489" i="1"/>
  <c r="P489" i="1"/>
  <c r="N489" i="1"/>
  <c r="I489" i="1"/>
  <c r="E489" i="1"/>
  <c r="BK488" i="1"/>
  <c r="BJ488" i="1"/>
  <c r="BI488" i="1"/>
  <c r="BH488" i="1"/>
  <c r="BE488" i="1"/>
  <c r="BD488" i="1"/>
  <c r="BC488" i="1"/>
  <c r="BB488" i="1"/>
  <c r="BA488" i="1"/>
  <c r="BA469" i="1" s="1"/>
  <c r="AZ488" i="1"/>
  <c r="AY488" i="1"/>
  <c r="AY469" i="1" s="1"/>
  <c r="AX488" i="1"/>
  <c r="AW488" i="1"/>
  <c r="AV488" i="1"/>
  <c r="AU488" i="1"/>
  <c r="AT488" i="1"/>
  <c r="AS488" i="1"/>
  <c r="AR488" i="1"/>
  <c r="AQ488" i="1"/>
  <c r="AP488" i="1"/>
  <c r="AO488" i="1"/>
  <c r="AN488" i="1"/>
  <c r="AM488" i="1"/>
  <c r="AK488" i="1"/>
  <c r="AI488" i="1"/>
  <c r="AH488" i="1"/>
  <c r="AG488" i="1"/>
  <c r="AF488" i="1"/>
  <c r="AD488" i="1"/>
  <c r="AC488" i="1"/>
  <c r="AL488" i="1" s="1"/>
  <c r="X488" i="1"/>
  <c r="W488" i="1"/>
  <c r="T488" i="1"/>
  <c r="Q488" i="1"/>
  <c r="P488" i="1"/>
  <c r="O488" i="1"/>
  <c r="N488" i="1"/>
  <c r="J488" i="1"/>
  <c r="I488" i="1"/>
  <c r="F488" i="1"/>
  <c r="E488" i="1"/>
  <c r="AL487" i="1"/>
  <c r="AJ487" i="1"/>
  <c r="AI487" i="1"/>
  <c r="AG487" i="1"/>
  <c r="AA487" i="1"/>
  <c r="Z487" i="1"/>
  <c r="X487" i="1"/>
  <c r="U487" i="1"/>
  <c r="Q487" i="1"/>
  <c r="P487" i="1"/>
  <c r="AP487" i="1" s="1"/>
  <c r="AQ487" i="1" s="1"/>
  <c r="AL486" i="1"/>
  <c r="AI486" i="1"/>
  <c r="AG486" i="1"/>
  <c r="AJ486" i="1" s="1"/>
  <c r="AA486" i="1"/>
  <c r="Z486" i="1"/>
  <c r="AP486" i="1" s="1"/>
  <c r="AQ486" i="1" s="1"/>
  <c r="X486" i="1"/>
  <c r="U486" i="1"/>
  <c r="Q486" i="1"/>
  <c r="N486" i="1"/>
  <c r="O486" i="1" s="1"/>
  <c r="AL485" i="1"/>
  <c r="AI485" i="1"/>
  <c r="AG485" i="1"/>
  <c r="AJ485" i="1" s="1"/>
  <c r="Z485" i="1"/>
  <c r="AP485" i="1" s="1"/>
  <c r="AQ485" i="1" s="1"/>
  <c r="X485" i="1"/>
  <c r="U485" i="1"/>
  <c r="AA485" i="1" s="1"/>
  <c r="Q485" i="1"/>
  <c r="P485" i="1"/>
  <c r="N485" i="1"/>
  <c r="O485" i="1" s="1"/>
  <c r="AL484" i="1"/>
  <c r="AJ484" i="1"/>
  <c r="AI484" i="1"/>
  <c r="AG484" i="1"/>
  <c r="Z484" i="1"/>
  <c r="AP484" i="1" s="1"/>
  <c r="AQ484" i="1" s="1"/>
  <c r="X484" i="1"/>
  <c r="U484" i="1"/>
  <c r="AA484" i="1" s="1"/>
  <c r="Q484" i="1"/>
  <c r="Q474" i="1" s="1"/>
  <c r="O484" i="1"/>
  <c r="N484" i="1"/>
  <c r="AL483" i="1"/>
  <c r="AI483" i="1"/>
  <c r="AG483" i="1"/>
  <c r="AJ483" i="1" s="1"/>
  <c r="AA483" i="1"/>
  <c r="Z483" i="1"/>
  <c r="AP483" i="1" s="1"/>
  <c r="AQ483" i="1" s="1"/>
  <c r="X483" i="1"/>
  <c r="U483" i="1"/>
  <c r="Q483" i="1"/>
  <c r="P483" i="1"/>
  <c r="N483" i="1"/>
  <c r="O483" i="1" s="1"/>
  <c r="AQ482" i="1"/>
  <c r="AL482" i="1"/>
  <c r="AI482" i="1"/>
  <c r="BF482" i="1" s="1"/>
  <c r="AG482" i="1"/>
  <c r="AD482" i="1"/>
  <c r="AJ482" i="1" s="1"/>
  <c r="Z482" i="1"/>
  <c r="U482" i="1"/>
  <c r="AA482" i="1" s="1"/>
  <c r="Q482" i="1"/>
  <c r="N482" i="1"/>
  <c r="O482" i="1" s="1"/>
  <c r="AL481" i="1"/>
  <c r="AI481" i="1"/>
  <c r="AG481" i="1"/>
  <c r="AJ481" i="1" s="1"/>
  <c r="Z481" i="1"/>
  <c r="X481" i="1"/>
  <c r="U481" i="1"/>
  <c r="AA481" i="1" s="1"/>
  <c r="Q481" i="1"/>
  <c r="P481" i="1"/>
  <c r="N481" i="1" s="1"/>
  <c r="O481" i="1" s="1"/>
  <c r="AQ480" i="1"/>
  <c r="AL480" i="1"/>
  <c r="AI480" i="1"/>
  <c r="AG480" i="1"/>
  <c r="AD480" i="1"/>
  <c r="AD474" i="1" s="1"/>
  <c r="AD472" i="1" s="1"/>
  <c r="AD469" i="1" s="1"/>
  <c r="Z480" i="1"/>
  <c r="X480" i="1"/>
  <c r="U480" i="1"/>
  <c r="Q480" i="1"/>
  <c r="O480" i="1"/>
  <c r="N480" i="1"/>
  <c r="AQ479" i="1"/>
  <c r="AL479" i="1"/>
  <c r="AI479" i="1"/>
  <c r="AG479" i="1"/>
  <c r="AJ479" i="1" s="1"/>
  <c r="AD479" i="1"/>
  <c r="Z479" i="1"/>
  <c r="Z475" i="1" s="1"/>
  <c r="Z473" i="1" s="1"/>
  <c r="X479" i="1"/>
  <c r="U479" i="1"/>
  <c r="P479" i="1"/>
  <c r="Q479" i="1" s="1"/>
  <c r="N479" i="1"/>
  <c r="O479" i="1" s="1"/>
  <c r="AL478" i="1"/>
  <c r="AJ478" i="1"/>
  <c r="AI478" i="1"/>
  <c r="Z478" i="1"/>
  <c r="AP478" i="1" s="1"/>
  <c r="AQ478" i="1" s="1"/>
  <c r="X478" i="1"/>
  <c r="U478" i="1"/>
  <c r="Q478" i="1"/>
  <c r="O478" i="1"/>
  <c r="N478" i="1"/>
  <c r="AP477" i="1"/>
  <c r="AQ477" i="1" s="1"/>
  <c r="AL477" i="1"/>
  <c r="AI477" i="1"/>
  <c r="AI475" i="1" s="1"/>
  <c r="AI473" i="1" s="1"/>
  <c r="AG477" i="1"/>
  <c r="AD477" i="1"/>
  <c r="Z477" i="1"/>
  <c r="X477" i="1"/>
  <c r="X475" i="1" s="1"/>
  <c r="X473" i="1" s="1"/>
  <c r="U477" i="1"/>
  <c r="P477" i="1"/>
  <c r="J477" i="1"/>
  <c r="J475" i="1" s="1"/>
  <c r="J473" i="1" s="1"/>
  <c r="F477" i="1"/>
  <c r="AL476" i="1"/>
  <c r="AJ476" i="1"/>
  <c r="AI476" i="1"/>
  <c r="Z476" i="1"/>
  <c r="X476" i="1"/>
  <c r="U476" i="1"/>
  <c r="AA476" i="1" s="1"/>
  <c r="Q476" i="1"/>
  <c r="N476" i="1"/>
  <c r="J476" i="1"/>
  <c r="F476" i="1"/>
  <c r="BN475" i="1"/>
  <c r="BM475" i="1"/>
  <c r="BL475" i="1"/>
  <c r="BK475" i="1"/>
  <c r="BJ475" i="1"/>
  <c r="BI475" i="1"/>
  <c r="BI473" i="1" s="1"/>
  <c r="BH475" i="1"/>
  <c r="BG475" i="1"/>
  <c r="BF475" i="1"/>
  <c r="BF473" i="1" s="1"/>
  <c r="BF471" i="1" s="1"/>
  <c r="BE475" i="1"/>
  <c r="BD475" i="1"/>
  <c r="BC475" i="1"/>
  <c r="BB475" i="1"/>
  <c r="BA475" i="1"/>
  <c r="BA473" i="1" s="1"/>
  <c r="BA470" i="1" s="1"/>
  <c r="AZ475" i="1"/>
  <c r="AZ473" i="1" s="1"/>
  <c r="AY475" i="1"/>
  <c r="AX475" i="1"/>
  <c r="AX473" i="1" s="1"/>
  <c r="AW475" i="1"/>
  <c r="AV475" i="1"/>
  <c r="AV473" i="1" s="1"/>
  <c r="AU475" i="1"/>
  <c r="AT475" i="1"/>
  <c r="AS475" i="1"/>
  <c r="AR475" i="1"/>
  <c r="AR473" i="1" s="1"/>
  <c r="AO475" i="1"/>
  <c r="AN475" i="1"/>
  <c r="AN473" i="1" s="1"/>
  <c r="AM475" i="1"/>
  <c r="AK475" i="1"/>
  <c r="AH475" i="1"/>
  <c r="AF475" i="1"/>
  <c r="AF473" i="1" s="1"/>
  <c r="AF471" i="1" s="1"/>
  <c r="AE475" i="1"/>
  <c r="AD475" i="1"/>
  <c r="AC475" i="1"/>
  <c r="AL475" i="1" s="1"/>
  <c r="AB475" i="1"/>
  <c r="Y475" i="1"/>
  <c r="W475" i="1"/>
  <c r="W473" i="1" s="1"/>
  <c r="W471" i="1" s="1"/>
  <c r="V475" i="1"/>
  <c r="T475" i="1"/>
  <c r="T473" i="1" s="1"/>
  <c r="S475" i="1"/>
  <c r="I475" i="1"/>
  <c r="F475" i="1"/>
  <c r="E475" i="1"/>
  <c r="E473" i="1" s="1"/>
  <c r="BN474" i="1"/>
  <c r="BM474" i="1"/>
  <c r="BL474" i="1"/>
  <c r="BK474" i="1"/>
  <c r="BK472" i="1" s="1"/>
  <c r="BK469" i="1" s="1"/>
  <c r="BJ474" i="1"/>
  <c r="BI474" i="1"/>
  <c r="BH474" i="1"/>
  <c r="BH472" i="1" s="1"/>
  <c r="BE474" i="1"/>
  <c r="BD474" i="1"/>
  <c r="BC474" i="1"/>
  <c r="BC472" i="1" s="1"/>
  <c r="BC469" i="1" s="1"/>
  <c r="BB474" i="1"/>
  <c r="BB472" i="1" s="1"/>
  <c r="BB469" i="1" s="1"/>
  <c r="BA474" i="1"/>
  <c r="BA472" i="1" s="1"/>
  <c r="AZ474" i="1"/>
  <c r="AY474" i="1"/>
  <c r="AY472" i="1" s="1"/>
  <c r="AX474" i="1"/>
  <c r="AX472" i="1" s="1"/>
  <c r="AW474" i="1"/>
  <c r="AV474" i="1"/>
  <c r="AU474" i="1"/>
  <c r="AT474" i="1"/>
  <c r="AT472" i="1" s="1"/>
  <c r="AT469" i="1" s="1"/>
  <c r="AS474" i="1"/>
  <c r="AS472" i="1" s="1"/>
  <c r="AR474" i="1"/>
  <c r="AO474" i="1"/>
  <c r="AN474" i="1"/>
  <c r="AM474" i="1"/>
  <c r="AM472" i="1" s="1"/>
  <c r="AM469" i="1" s="1"/>
  <c r="AL474" i="1"/>
  <c r="AK474" i="1"/>
  <c r="AH474" i="1"/>
  <c r="AF474" i="1"/>
  <c r="AE474" i="1"/>
  <c r="AC474" i="1"/>
  <c r="AC472" i="1" s="1"/>
  <c r="AB474" i="1"/>
  <c r="Y474" i="1"/>
  <c r="W474" i="1"/>
  <c r="V474" i="1"/>
  <c r="U474" i="1"/>
  <c r="U472" i="1" s="1"/>
  <c r="T474" i="1"/>
  <c r="T472" i="1" s="1"/>
  <c r="S474" i="1"/>
  <c r="P474" i="1"/>
  <c r="P472" i="1" s="1"/>
  <c r="P469" i="1" s="1"/>
  <c r="J474" i="1"/>
  <c r="I474" i="1"/>
  <c r="I472" i="1" s="1"/>
  <c r="I469" i="1" s="1"/>
  <c r="F474" i="1"/>
  <c r="F472" i="1" s="1"/>
  <c r="F469" i="1" s="1"/>
  <c r="E474" i="1"/>
  <c r="E472" i="1" s="1"/>
  <c r="E469" i="1" s="1"/>
  <c r="BK473" i="1"/>
  <c r="BJ473" i="1"/>
  <c r="BH473" i="1"/>
  <c r="BH470" i="1" s="1"/>
  <c r="BE473" i="1"/>
  <c r="BD473" i="1"/>
  <c r="BD470" i="1" s="1"/>
  <c r="BC473" i="1"/>
  <c r="BB473" i="1"/>
  <c r="AY473" i="1"/>
  <c r="AY471" i="1" s="1"/>
  <c r="AW473" i="1"/>
  <c r="AU473" i="1"/>
  <c r="AU470" i="1" s="1"/>
  <c r="AT473" i="1"/>
  <c r="AS473" i="1"/>
  <c r="AO473" i="1"/>
  <c r="AM473" i="1"/>
  <c r="AM470" i="1" s="1"/>
  <c r="AD473" i="1"/>
  <c r="AC473" i="1"/>
  <c r="R473" i="1"/>
  <c r="I473" i="1"/>
  <c r="H473" i="1"/>
  <c r="F473" i="1"/>
  <c r="F471" i="1" s="1"/>
  <c r="BJ472" i="1"/>
  <c r="BJ469" i="1" s="1"/>
  <c r="BI472" i="1"/>
  <c r="BI469" i="1" s="1"/>
  <c r="BE472" i="1"/>
  <c r="BD472" i="1"/>
  <c r="BD469" i="1" s="1"/>
  <c r="AZ472" i="1"/>
  <c r="AZ469" i="1" s="1"/>
  <c r="AW472" i="1"/>
  <c r="AV472" i="1"/>
  <c r="AU472" i="1"/>
  <c r="AU469" i="1" s="1"/>
  <c r="AR472" i="1"/>
  <c r="AO472" i="1"/>
  <c r="AN472" i="1"/>
  <c r="AL472" i="1"/>
  <c r="AF472" i="1"/>
  <c r="W472" i="1"/>
  <c r="W469" i="1" s="1"/>
  <c r="R472" i="1"/>
  <c r="Q472" i="1"/>
  <c r="Q469" i="1" s="1"/>
  <c r="J472" i="1"/>
  <c r="J469" i="1" s="1"/>
  <c r="H472" i="1"/>
  <c r="BK471" i="1"/>
  <c r="BJ471" i="1"/>
  <c r="BH471" i="1"/>
  <c r="BE471" i="1"/>
  <c r="BD471" i="1"/>
  <c r="BA471" i="1"/>
  <c r="AZ471" i="1"/>
  <c r="AW471" i="1"/>
  <c r="AV471" i="1"/>
  <c r="AU471" i="1"/>
  <c r="AR471" i="1"/>
  <c r="AM471" i="1"/>
  <c r="AD471" i="1"/>
  <c r="I471" i="1"/>
  <c r="BK470" i="1"/>
  <c r="BJ470" i="1"/>
  <c r="BE470" i="1"/>
  <c r="AZ470" i="1"/>
  <c r="AY470" i="1"/>
  <c r="AW470" i="1"/>
  <c r="AV470" i="1"/>
  <c r="AR470" i="1"/>
  <c r="AF470" i="1"/>
  <c r="AD470" i="1"/>
  <c r="W470" i="1"/>
  <c r="I470" i="1"/>
  <c r="BH469" i="1"/>
  <c r="BE469" i="1"/>
  <c r="AX469" i="1"/>
  <c r="AW469" i="1"/>
  <c r="AV469" i="1"/>
  <c r="AR469" i="1"/>
  <c r="AO469" i="1"/>
  <c r="AN469" i="1"/>
  <c r="AF469" i="1"/>
  <c r="AC469" i="1"/>
  <c r="AL469" i="1" s="1"/>
  <c r="T469" i="1"/>
  <c r="AQ467" i="1"/>
  <c r="AN467" i="1"/>
  <c r="AG467" i="1"/>
  <c r="AA467" i="1"/>
  <c r="Z467" i="1"/>
  <c r="X467" i="1"/>
  <c r="Q467" i="1"/>
  <c r="J467" i="1"/>
  <c r="F467" i="1"/>
  <c r="AQ466" i="1"/>
  <c r="AN466" i="1"/>
  <c r="AG466" i="1"/>
  <c r="AF466" i="1"/>
  <c r="Z466" i="1"/>
  <c r="X466" i="1"/>
  <c r="AA466" i="1" s="1"/>
  <c r="Q466" i="1"/>
  <c r="J466" i="1"/>
  <c r="F466" i="1"/>
  <c r="BF465" i="1"/>
  <c r="AT465" i="1"/>
  <c r="AR465" i="1"/>
  <c r="AQ465" i="1"/>
  <c r="AK465" i="1"/>
  <c r="AG465" i="1"/>
  <c r="AB465" i="1"/>
  <c r="AA465" i="1"/>
  <c r="Z465" i="1"/>
  <c r="X465" i="1"/>
  <c r="P465" i="1"/>
  <c r="P466" i="1" s="1"/>
  <c r="P467" i="1" s="1"/>
  <c r="O465" i="1"/>
  <c r="O466" i="1" s="1"/>
  <c r="O467" i="1" s="1"/>
  <c r="J465" i="1"/>
  <c r="F465" i="1"/>
  <c r="AN464" i="1"/>
  <c r="AG464" i="1"/>
  <c r="AA464" i="1"/>
  <c r="Z464" i="1"/>
  <c r="X464" i="1"/>
  <c r="J464" i="1"/>
  <c r="F464" i="1"/>
  <c r="AQ463" i="1"/>
  <c r="AP463" i="1"/>
  <c r="AP464" i="1" s="1"/>
  <c r="AQ464" i="1" s="1"/>
  <c r="AL463" i="1"/>
  <c r="AL464" i="1" s="1"/>
  <c r="AG463" i="1"/>
  <c r="AF463" i="1"/>
  <c r="AN463" i="1" s="1"/>
  <c r="AA463" i="1"/>
  <c r="Z463" i="1"/>
  <c r="X463" i="1"/>
  <c r="Q463" i="1"/>
  <c r="J463" i="1"/>
  <c r="F463" i="1"/>
  <c r="AZ462" i="1"/>
  <c r="AR462" i="1"/>
  <c r="AQ462" i="1"/>
  <c r="AK462" i="1"/>
  <c r="AG462" i="1"/>
  <c r="AB462" i="1"/>
  <c r="AA462" i="1"/>
  <c r="Z462" i="1"/>
  <c r="X462" i="1"/>
  <c r="P462" i="1"/>
  <c r="N462" i="1" s="1"/>
  <c r="O462" i="1"/>
  <c r="J462" i="1"/>
  <c r="F462" i="1"/>
  <c r="AN461" i="1"/>
  <c r="AG461" i="1"/>
  <c r="Z461" i="1"/>
  <c r="X461" i="1"/>
  <c r="AA461" i="1" s="1"/>
  <c r="Q461" i="1"/>
  <c r="J461" i="1"/>
  <c r="F461" i="1"/>
  <c r="AP460" i="1"/>
  <c r="AP461" i="1" s="1"/>
  <c r="AQ461" i="1" s="1"/>
  <c r="AN460" i="1"/>
  <c r="AI460" i="1"/>
  <c r="AG460" i="1"/>
  <c r="AF460" i="1"/>
  <c r="Z460" i="1"/>
  <c r="X460" i="1"/>
  <c r="AA460" i="1" s="1"/>
  <c r="Q460" i="1"/>
  <c r="P460" i="1" s="1"/>
  <c r="N460" i="1" s="1"/>
  <c r="O460" i="1"/>
  <c r="J460" i="1"/>
  <c r="F460" i="1"/>
  <c r="AZ459" i="1"/>
  <c r="AR459" i="1"/>
  <c r="AQ459" i="1"/>
  <c r="AK459" i="1"/>
  <c r="AF459" i="1"/>
  <c r="AB459" i="1"/>
  <c r="Z459" i="1"/>
  <c r="X459" i="1"/>
  <c r="AA459" i="1" s="1"/>
  <c r="P459" i="1"/>
  <c r="O459" i="1"/>
  <c r="N459" i="1"/>
  <c r="J459" i="1"/>
  <c r="F459" i="1"/>
  <c r="AN458" i="1"/>
  <c r="AG458" i="1"/>
  <c r="AA458" i="1"/>
  <c r="Z458" i="1"/>
  <c r="X458" i="1"/>
  <c r="J458" i="1"/>
  <c r="F458" i="1"/>
  <c r="AQ457" i="1"/>
  <c r="AP457" i="1"/>
  <c r="AP458" i="1" s="1"/>
  <c r="AQ458" i="1" s="1"/>
  <c r="AN457" i="1"/>
  <c r="AI457" i="1"/>
  <c r="AG457" i="1"/>
  <c r="AF457" i="1"/>
  <c r="Z457" i="1"/>
  <c r="X457" i="1"/>
  <c r="AA457" i="1" s="1"/>
  <c r="W457" i="1"/>
  <c r="Q457" i="1"/>
  <c r="Q458" i="1" s="1"/>
  <c r="P458" i="1" s="1"/>
  <c r="N458" i="1" s="1"/>
  <c r="P457" i="1"/>
  <c r="N457" i="1" s="1"/>
  <c r="J457" i="1"/>
  <c r="F457" i="1"/>
  <c r="AZ456" i="1"/>
  <c r="AR456" i="1"/>
  <c r="AQ456" i="1"/>
  <c r="AL456" i="1"/>
  <c r="AK456" i="1"/>
  <c r="AI456" i="1"/>
  <c r="AJ456" i="1" s="1"/>
  <c r="AG456" i="1"/>
  <c r="AF456" i="1"/>
  <c r="AT456" i="1" s="1"/>
  <c r="AB456" i="1"/>
  <c r="AA456" i="1"/>
  <c r="Z456" i="1"/>
  <c r="X456" i="1"/>
  <c r="P456" i="1"/>
  <c r="O456" i="1"/>
  <c r="N456" i="1"/>
  <c r="J456" i="1"/>
  <c r="F456" i="1"/>
  <c r="AN455" i="1"/>
  <c r="AG455" i="1"/>
  <c r="Z455" i="1"/>
  <c r="X455" i="1"/>
  <c r="AA455" i="1" s="1"/>
  <c r="Q455" i="1"/>
  <c r="P455" i="1" s="1"/>
  <c r="O455" i="1"/>
  <c r="N455" i="1"/>
  <c r="J455" i="1"/>
  <c r="F455" i="1"/>
  <c r="AF454" i="1"/>
  <c r="Z454" i="1"/>
  <c r="X454" i="1"/>
  <c r="AA454" i="1" s="1"/>
  <c r="W454" i="1"/>
  <c r="Q454" i="1"/>
  <c r="O454" i="1" s="1"/>
  <c r="P454" i="1"/>
  <c r="N454" i="1"/>
  <c r="J454" i="1"/>
  <c r="F454" i="1"/>
  <c r="AT453" i="1"/>
  <c r="AR453" i="1"/>
  <c r="AK453" i="1"/>
  <c r="AF453" i="1"/>
  <c r="AB453" i="1"/>
  <c r="Z453" i="1"/>
  <c r="X453" i="1"/>
  <c r="AA453" i="1" s="1"/>
  <c r="P453" i="1"/>
  <c r="N453" i="1" s="1"/>
  <c r="O453" i="1"/>
  <c r="J453" i="1"/>
  <c r="F453" i="1"/>
  <c r="AN452" i="1"/>
  <c r="AI452" i="1"/>
  <c r="AG452" i="1"/>
  <c r="AA452" i="1"/>
  <c r="Z452" i="1"/>
  <c r="X452" i="1"/>
  <c r="P452" i="1"/>
  <c r="O452" i="1"/>
  <c r="N452" i="1"/>
  <c r="J452" i="1"/>
  <c r="F452" i="1"/>
  <c r="AI451" i="1"/>
  <c r="AJ451" i="1" s="1"/>
  <c r="AJ452" i="1" s="1"/>
  <c r="AG451" i="1"/>
  <c r="AF451" i="1"/>
  <c r="AN451" i="1" s="1"/>
  <c r="Z451" i="1"/>
  <c r="X451" i="1"/>
  <c r="AA451" i="1" s="1"/>
  <c r="W451" i="1"/>
  <c r="Q451" i="1"/>
  <c r="Q452" i="1" s="1"/>
  <c r="P451" i="1"/>
  <c r="O451" i="1"/>
  <c r="N451" i="1"/>
  <c r="J451" i="1"/>
  <c r="F451" i="1"/>
  <c r="BF450" i="1"/>
  <c r="AL450" i="1"/>
  <c r="AK450" i="1"/>
  <c r="AI450" i="1"/>
  <c r="AJ450" i="1" s="1"/>
  <c r="AG450" i="1"/>
  <c r="AF450" i="1"/>
  <c r="AB450" i="1"/>
  <c r="AA450" i="1"/>
  <c r="Z450" i="1"/>
  <c r="X450" i="1"/>
  <c r="P450" i="1"/>
  <c r="N450" i="1" s="1"/>
  <c r="O450" i="1"/>
  <c r="J450" i="1"/>
  <c r="F450" i="1"/>
  <c r="AN449" i="1"/>
  <c r="AG449" i="1"/>
  <c r="Z449" i="1"/>
  <c r="X449" i="1"/>
  <c r="AA449" i="1" s="1"/>
  <c r="N449" i="1"/>
  <c r="J449" i="1"/>
  <c r="F449" i="1"/>
  <c r="BI448" i="1"/>
  <c r="AN448" i="1"/>
  <c r="AI448" i="1"/>
  <c r="AG448" i="1"/>
  <c r="AF448" i="1"/>
  <c r="W448" i="1"/>
  <c r="Z448" i="1" s="1"/>
  <c r="Q448" i="1"/>
  <c r="Q449" i="1" s="1"/>
  <c r="P449" i="1" s="1"/>
  <c r="O448" i="1"/>
  <c r="J448" i="1"/>
  <c r="F448" i="1"/>
  <c r="BF447" i="1"/>
  <c r="AT447" i="1"/>
  <c r="AP447" i="1" s="1"/>
  <c r="AR447" i="1"/>
  <c r="AK447" i="1"/>
  <c r="AF447" i="1"/>
  <c r="AB447" i="1"/>
  <c r="AA447" i="1"/>
  <c r="Z447" i="1"/>
  <c r="X447" i="1"/>
  <c r="P447" i="1"/>
  <c r="O447" i="1"/>
  <c r="N447" i="1"/>
  <c r="J447" i="1"/>
  <c r="F447" i="1"/>
  <c r="AN446" i="1"/>
  <c r="AG446" i="1"/>
  <c r="AA446" i="1"/>
  <c r="Z446" i="1"/>
  <c r="X446" i="1"/>
  <c r="Q446" i="1"/>
  <c r="J446" i="1"/>
  <c r="F446" i="1"/>
  <c r="AF445" i="1"/>
  <c r="AA445" i="1"/>
  <c r="Z445" i="1"/>
  <c r="X445" i="1"/>
  <c r="W445" i="1"/>
  <c r="Q445" i="1"/>
  <c r="J445" i="1"/>
  <c r="F445" i="1"/>
  <c r="AR444" i="1"/>
  <c r="AK444" i="1"/>
  <c r="AI444" i="1" s="1"/>
  <c r="AJ444" i="1" s="1"/>
  <c r="AF444" i="1"/>
  <c r="AL444" i="1" s="1"/>
  <c r="AB444" i="1"/>
  <c r="AA444" i="1"/>
  <c r="Z444" i="1"/>
  <c r="X444" i="1"/>
  <c r="P444" i="1"/>
  <c r="O444" i="1"/>
  <c r="J444" i="1"/>
  <c r="F444" i="1"/>
  <c r="AN443" i="1"/>
  <c r="AG443" i="1"/>
  <c r="AA443" i="1"/>
  <c r="Z443" i="1"/>
  <c r="X443" i="1"/>
  <c r="J443" i="1"/>
  <c r="F443" i="1"/>
  <c r="AF442" i="1"/>
  <c r="AA442" i="1"/>
  <c r="Z442" i="1"/>
  <c r="X442" i="1"/>
  <c r="W442" i="1"/>
  <c r="Q442" i="1"/>
  <c r="J442" i="1"/>
  <c r="F442" i="1"/>
  <c r="BF441" i="1"/>
  <c r="AR441" i="1"/>
  <c r="AK441" i="1"/>
  <c r="AI441" i="1"/>
  <c r="AJ441" i="1" s="1"/>
  <c r="AG441" i="1"/>
  <c r="AF441" i="1"/>
  <c r="AT441" i="1" s="1"/>
  <c r="AB441" i="1"/>
  <c r="AA441" i="1"/>
  <c r="Z441" i="1"/>
  <c r="X441" i="1"/>
  <c r="P441" i="1"/>
  <c r="O441" i="1"/>
  <c r="J441" i="1"/>
  <c r="F441" i="1"/>
  <c r="AN440" i="1"/>
  <c r="AG440" i="1"/>
  <c r="AF440" i="1"/>
  <c r="AA440" i="1"/>
  <c r="Z440" i="1"/>
  <c r="X440" i="1"/>
  <c r="Q440" i="1"/>
  <c r="P440" i="1"/>
  <c r="N440" i="1" s="1"/>
  <c r="O440" i="1"/>
  <c r="J440" i="1"/>
  <c r="F440" i="1"/>
  <c r="AN439" i="1"/>
  <c r="AL439" i="1"/>
  <c r="AL440" i="1" s="1"/>
  <c r="AF439" i="1"/>
  <c r="AG439" i="1" s="1"/>
  <c r="W439" i="1"/>
  <c r="Q439" i="1"/>
  <c r="O439" i="1" s="1"/>
  <c r="P439" i="1"/>
  <c r="N439" i="1" s="1"/>
  <c r="J439" i="1"/>
  <c r="F439" i="1"/>
  <c r="AR438" i="1"/>
  <c r="AP438" i="1"/>
  <c r="AP439" i="1" s="1"/>
  <c r="AH438" i="1"/>
  <c r="AG438" i="1"/>
  <c r="AF438" i="1"/>
  <c r="AB438" i="1"/>
  <c r="Z438" i="1"/>
  <c r="X438" i="1"/>
  <c r="AA438" i="1" s="1"/>
  <c r="P438" i="1"/>
  <c r="O438" i="1"/>
  <c r="N438" i="1"/>
  <c r="J438" i="1"/>
  <c r="F438" i="1"/>
  <c r="BK437" i="1"/>
  <c r="BJ437" i="1"/>
  <c r="BI437" i="1"/>
  <c r="BI436" i="1" s="1"/>
  <c r="AC437" i="1"/>
  <c r="AD437" i="1" s="1"/>
  <c r="AA437" i="1"/>
  <c r="Z437" i="1"/>
  <c r="X437" i="1"/>
  <c r="I437" i="1"/>
  <c r="J437" i="1" s="1"/>
  <c r="E437" i="1"/>
  <c r="F437" i="1" s="1"/>
  <c r="BK436" i="1"/>
  <c r="BJ436" i="1"/>
  <c r="AD436" i="1"/>
  <c r="Z436" i="1"/>
  <c r="X436" i="1"/>
  <c r="AA436" i="1" s="1"/>
  <c r="W436" i="1"/>
  <c r="J436" i="1"/>
  <c r="F436" i="1"/>
  <c r="E436" i="1"/>
  <c r="AQ435" i="1"/>
  <c r="AP435" i="1"/>
  <c r="AP436" i="1" s="1"/>
  <c r="AK435" i="1"/>
  <c r="BF435" i="1" s="1"/>
  <c r="AH435" i="1"/>
  <c r="AE435" i="1"/>
  <c r="AD435" i="1"/>
  <c r="AB435" i="1"/>
  <c r="AA435" i="1"/>
  <c r="Z435" i="1"/>
  <c r="X435" i="1"/>
  <c r="S435" i="1"/>
  <c r="Q435" i="1"/>
  <c r="P435" i="1"/>
  <c r="N435" i="1"/>
  <c r="J435" i="1"/>
  <c r="F435" i="1"/>
  <c r="E435" i="1"/>
  <c r="AJ434" i="1"/>
  <c r="AI434" i="1"/>
  <c r="AG434" i="1"/>
  <c r="AF434" i="1"/>
  <c r="AF433" i="1" s="1"/>
  <c r="Z434" i="1"/>
  <c r="W434" i="1"/>
  <c r="X434" i="1" s="1"/>
  <c r="AA434" i="1" s="1"/>
  <c r="P434" i="1"/>
  <c r="O434" i="1"/>
  <c r="J434" i="1"/>
  <c r="F434" i="1"/>
  <c r="AM433" i="1"/>
  <c r="AL433" i="1"/>
  <c r="AL434" i="1" s="1"/>
  <c r="AJ433" i="1"/>
  <c r="W433" i="1"/>
  <c r="Q433" i="1"/>
  <c r="Q434" i="1" s="1"/>
  <c r="P433" i="1"/>
  <c r="O433" i="1"/>
  <c r="J433" i="1"/>
  <c r="F433" i="1"/>
  <c r="BF432" i="1"/>
  <c r="AT432" i="1"/>
  <c r="AQ432" i="1"/>
  <c r="AL432" i="1"/>
  <c r="AJ432" i="1"/>
  <c r="AG432" i="1"/>
  <c r="AB432" i="1"/>
  <c r="Y432" i="1"/>
  <c r="W432" i="1"/>
  <c r="Z432" i="1" s="1"/>
  <c r="P432" i="1"/>
  <c r="O432" i="1"/>
  <c r="N432" i="1"/>
  <c r="N433" i="1" s="1"/>
  <c r="N434" i="1" s="1"/>
  <c r="J432" i="1"/>
  <c r="F432" i="1"/>
  <c r="AM431" i="1"/>
  <c r="AI431" i="1"/>
  <c r="AF431" i="1"/>
  <c r="AG431" i="1" s="1"/>
  <c r="Z431" i="1"/>
  <c r="X431" i="1"/>
  <c r="AA431" i="1" s="1"/>
  <c r="W431" i="1"/>
  <c r="W430" i="1" s="1"/>
  <c r="J431" i="1"/>
  <c r="F431" i="1"/>
  <c r="AJ430" i="1"/>
  <c r="AJ431" i="1" s="1"/>
  <c r="AF430" i="1"/>
  <c r="Q430" i="1"/>
  <c r="J430" i="1"/>
  <c r="F430" i="1"/>
  <c r="AZ429" i="1"/>
  <c r="AT429" i="1"/>
  <c r="AQ429" i="1"/>
  <c r="AL429" i="1"/>
  <c r="AJ429" i="1"/>
  <c r="AG429" i="1"/>
  <c r="AB429" i="1"/>
  <c r="Z429" i="1"/>
  <c r="Y429" i="1"/>
  <c r="X429" i="1"/>
  <c r="AA429" i="1" s="1"/>
  <c r="P429" i="1"/>
  <c r="O429" i="1"/>
  <c r="N429" i="1"/>
  <c r="J429" i="1"/>
  <c r="F429" i="1"/>
  <c r="AM428" i="1"/>
  <c r="AI428" i="1"/>
  <c r="AF428" i="1"/>
  <c r="AG428" i="1" s="1"/>
  <c r="X428" i="1"/>
  <c r="AA428" i="1" s="1"/>
  <c r="W428" i="1"/>
  <c r="Z428" i="1" s="1"/>
  <c r="P428" i="1"/>
  <c r="N428" i="1" s="1"/>
  <c r="O428" i="1"/>
  <c r="J428" i="1"/>
  <c r="F428" i="1"/>
  <c r="AJ427" i="1"/>
  <c r="AJ428" i="1" s="1"/>
  <c r="AG427" i="1"/>
  <c r="AF427" i="1"/>
  <c r="Q427" i="1"/>
  <c r="Q428" i="1" s="1"/>
  <c r="P427" i="1"/>
  <c r="O427" i="1"/>
  <c r="N427" i="1"/>
  <c r="J427" i="1"/>
  <c r="F427" i="1"/>
  <c r="AZ426" i="1"/>
  <c r="AT426" i="1"/>
  <c r="AQ426" i="1"/>
  <c r="AL426" i="1"/>
  <c r="AJ426" i="1"/>
  <c r="AG426" i="1"/>
  <c r="AB426" i="1"/>
  <c r="AA426" i="1"/>
  <c r="Z426" i="1"/>
  <c r="Y426" i="1"/>
  <c r="X426" i="1"/>
  <c r="P426" i="1"/>
  <c r="O426" i="1"/>
  <c r="N426" i="1"/>
  <c r="J426" i="1"/>
  <c r="F426" i="1"/>
  <c r="AM425" i="1"/>
  <c r="AJ425" i="1"/>
  <c r="AI425" i="1"/>
  <c r="AF425" i="1"/>
  <c r="W425" i="1"/>
  <c r="Z425" i="1" s="1"/>
  <c r="Q425" i="1"/>
  <c r="O425" i="1" s="1"/>
  <c r="J425" i="1"/>
  <c r="F425" i="1"/>
  <c r="AJ424" i="1"/>
  <c r="Q424" i="1"/>
  <c r="P424" i="1" s="1"/>
  <c r="N424" i="1" s="1"/>
  <c r="O424" i="1"/>
  <c r="J424" i="1"/>
  <c r="F424" i="1"/>
  <c r="AZ423" i="1"/>
  <c r="AZ400" i="1" s="1"/>
  <c r="AT423" i="1"/>
  <c r="AQ423" i="1"/>
  <c r="AL423" i="1"/>
  <c r="AJ423" i="1"/>
  <c r="AG423" i="1"/>
  <c r="AA423" i="1"/>
  <c r="Z423" i="1"/>
  <c r="Y423" i="1"/>
  <c r="AB423" i="1" s="1"/>
  <c r="X423" i="1"/>
  <c r="W423" i="1"/>
  <c r="P423" i="1"/>
  <c r="N423" i="1" s="1"/>
  <c r="O423" i="1"/>
  <c r="J423" i="1"/>
  <c r="F423" i="1"/>
  <c r="AI422" i="1"/>
  <c r="AF422" i="1"/>
  <c r="AM422" i="1" s="1"/>
  <c r="Z422" i="1"/>
  <c r="W422" i="1"/>
  <c r="Q422" i="1"/>
  <c r="P422" i="1" s="1"/>
  <c r="N422" i="1" s="1"/>
  <c r="O422" i="1"/>
  <c r="J422" i="1"/>
  <c r="F422" i="1"/>
  <c r="AP421" i="1"/>
  <c r="AJ421" i="1"/>
  <c r="AJ422" i="1" s="1"/>
  <c r="AG421" i="1"/>
  <c r="AF421" i="1"/>
  <c r="Q421" i="1"/>
  <c r="P421" i="1"/>
  <c r="O421" i="1"/>
  <c r="N421" i="1"/>
  <c r="J421" i="1"/>
  <c r="F421" i="1"/>
  <c r="AZ420" i="1"/>
  <c r="AT420" i="1"/>
  <c r="AP420" i="1"/>
  <c r="AQ420" i="1" s="1"/>
  <c r="AL420" i="1"/>
  <c r="AJ420" i="1"/>
  <c r="AG420" i="1"/>
  <c r="AB420" i="1"/>
  <c r="Y420" i="1"/>
  <c r="W420" i="1"/>
  <c r="Z420" i="1" s="1"/>
  <c r="P420" i="1"/>
  <c r="N420" i="1" s="1"/>
  <c r="O420" i="1"/>
  <c r="J420" i="1"/>
  <c r="F420" i="1"/>
  <c r="AJ419" i="1"/>
  <c r="AI419" i="1"/>
  <c r="AF419" i="1"/>
  <c r="W419" i="1"/>
  <c r="Z419" i="1" s="1"/>
  <c r="J419" i="1"/>
  <c r="F419" i="1"/>
  <c r="AJ418" i="1"/>
  <c r="W418" i="1"/>
  <c r="Q418" i="1"/>
  <c r="P418" i="1" s="1"/>
  <c r="N418" i="1" s="1"/>
  <c r="J418" i="1"/>
  <c r="F418" i="1"/>
  <c r="BF417" i="1"/>
  <c r="AT417" i="1"/>
  <c r="AR417" i="1"/>
  <c r="AR400" i="1" s="1"/>
  <c r="AL417" i="1"/>
  <c r="AJ417" i="1"/>
  <c r="AG417" i="1"/>
  <c r="Z417" i="1"/>
  <c r="Y417" i="1"/>
  <c r="AB417" i="1" s="1"/>
  <c r="X417" i="1"/>
  <c r="AA417" i="1" s="1"/>
  <c r="P417" i="1"/>
  <c r="O417" i="1"/>
  <c r="N417" i="1"/>
  <c r="J417" i="1"/>
  <c r="F417" i="1"/>
  <c r="AP416" i="1"/>
  <c r="AQ416" i="1" s="1"/>
  <c r="AM416" i="1"/>
  <c r="AG416" i="1"/>
  <c r="Z416" i="1"/>
  <c r="W416" i="1"/>
  <c r="W415" i="1" s="1"/>
  <c r="Z415" i="1" s="1"/>
  <c r="J416" i="1"/>
  <c r="F416" i="1"/>
  <c r="BI415" i="1"/>
  <c r="AQ415" i="1"/>
  <c r="AP415" i="1"/>
  <c r="AI415" i="1"/>
  <c r="AG415" i="1"/>
  <c r="AF415" i="1"/>
  <c r="Q415" i="1"/>
  <c r="Q416" i="1" s="1"/>
  <c r="P415" i="1"/>
  <c r="N415" i="1" s="1"/>
  <c r="O415" i="1"/>
  <c r="J415" i="1"/>
  <c r="F415" i="1"/>
  <c r="BF414" i="1"/>
  <c r="AT414" i="1"/>
  <c r="AQ414" i="1"/>
  <c r="AL414" i="1"/>
  <c r="AJ414" i="1"/>
  <c r="AG414" i="1"/>
  <c r="AB414" i="1"/>
  <c r="Y414" i="1"/>
  <c r="W414" i="1"/>
  <c r="P414" i="1"/>
  <c r="N414" i="1" s="1"/>
  <c r="O414" i="1"/>
  <c r="J414" i="1"/>
  <c r="F414" i="1"/>
  <c r="AM413" i="1"/>
  <c r="AI413" i="1"/>
  <c r="AG413" i="1"/>
  <c r="W413" i="1"/>
  <c r="W412" i="1" s="1"/>
  <c r="J413" i="1"/>
  <c r="F413" i="1"/>
  <c r="AP412" i="1"/>
  <c r="AM412" i="1"/>
  <c r="AL412" i="1"/>
  <c r="AL413" i="1" s="1"/>
  <c r="AF412" i="1"/>
  <c r="AI412" i="1" s="1"/>
  <c r="AJ412" i="1" s="1"/>
  <c r="AJ413" i="1" s="1"/>
  <c r="Q412" i="1"/>
  <c r="J412" i="1"/>
  <c r="F412" i="1"/>
  <c r="BF411" i="1"/>
  <c r="AT411" i="1"/>
  <c r="AQ411" i="1"/>
  <c r="AL411" i="1"/>
  <c r="AJ411" i="1"/>
  <c r="AG411" i="1"/>
  <c r="AA411" i="1"/>
  <c r="Z411" i="1"/>
  <c r="Y411" i="1"/>
  <c r="AB411" i="1" s="1"/>
  <c r="X411" i="1"/>
  <c r="W411" i="1"/>
  <c r="P411" i="1"/>
  <c r="O411" i="1"/>
  <c r="N411" i="1"/>
  <c r="J411" i="1"/>
  <c r="J400" i="1" s="1"/>
  <c r="F411" i="1"/>
  <c r="AQ410" i="1"/>
  <c r="AP410" i="1"/>
  <c r="AM410" i="1"/>
  <c r="AG410" i="1"/>
  <c r="Z410" i="1"/>
  <c r="X410" i="1"/>
  <c r="AA410" i="1" s="1"/>
  <c r="W410" i="1"/>
  <c r="J410" i="1"/>
  <c r="F410" i="1"/>
  <c r="AQ409" i="1"/>
  <c r="AP409" i="1"/>
  <c r="AI409" i="1"/>
  <c r="AG409" i="1"/>
  <c r="AF409" i="1"/>
  <c r="W409" i="1"/>
  <c r="Z409" i="1" s="1"/>
  <c r="Q409" i="1"/>
  <c r="Q410" i="1" s="1"/>
  <c r="P409" i="1"/>
  <c r="O409" i="1"/>
  <c r="N409" i="1"/>
  <c r="J409" i="1"/>
  <c r="F409" i="1"/>
  <c r="BF408" i="1"/>
  <c r="AT408" i="1"/>
  <c r="AQ408" i="1"/>
  <c r="AL408" i="1"/>
  <c r="AJ408" i="1"/>
  <c r="AG408" i="1"/>
  <c r="AB408" i="1"/>
  <c r="Y408" i="1"/>
  <c r="W408" i="1"/>
  <c r="P408" i="1"/>
  <c r="O408" i="1"/>
  <c r="N408" i="1"/>
  <c r="J408" i="1"/>
  <c r="F408" i="1"/>
  <c r="AM407" i="1"/>
  <c r="AL407" i="1"/>
  <c r="AI407" i="1"/>
  <c r="AG407" i="1"/>
  <c r="W407" i="1"/>
  <c r="Q407" i="1"/>
  <c r="P407" i="1"/>
  <c r="N407" i="1" s="1"/>
  <c r="O407" i="1"/>
  <c r="J407" i="1"/>
  <c r="F407" i="1"/>
  <c r="AP406" i="1"/>
  <c r="AM406" i="1"/>
  <c r="AL406" i="1"/>
  <c r="AJ406" i="1"/>
  <c r="AJ407" i="1" s="1"/>
  <c r="AF406" i="1"/>
  <c r="AG406" i="1" s="1"/>
  <c r="X406" i="1"/>
  <c r="AA406" i="1" s="1"/>
  <c r="W406" i="1"/>
  <c r="Z406" i="1" s="1"/>
  <c r="Q406" i="1"/>
  <c r="O406" i="1" s="1"/>
  <c r="P406" i="1"/>
  <c r="N406" i="1" s="1"/>
  <c r="J406" i="1"/>
  <c r="F406" i="1"/>
  <c r="BF405" i="1"/>
  <c r="AT405" i="1"/>
  <c r="AQ405" i="1"/>
  <c r="AL405" i="1"/>
  <c r="AJ405" i="1"/>
  <c r="AG405" i="1"/>
  <c r="Y405" i="1"/>
  <c r="W405" i="1"/>
  <c r="P405" i="1"/>
  <c r="O405" i="1"/>
  <c r="N405" i="1"/>
  <c r="J405" i="1"/>
  <c r="F405" i="1"/>
  <c r="F400" i="1" s="1"/>
  <c r="BK404" i="1"/>
  <c r="BK403" i="1" s="1"/>
  <c r="BK401" i="1" s="1"/>
  <c r="BJ404" i="1"/>
  <c r="BI404" i="1"/>
  <c r="BI403" i="1" s="1"/>
  <c r="BI401" i="1" s="1"/>
  <c r="AM404" i="1"/>
  <c r="AG404" i="1"/>
  <c r="AD404" i="1"/>
  <c r="W404" i="1"/>
  <c r="I404" i="1"/>
  <c r="J404" i="1" s="1"/>
  <c r="BJ403" i="1"/>
  <c r="BJ401" i="1" s="1"/>
  <c r="AP403" i="1"/>
  <c r="AQ403" i="1" s="1"/>
  <c r="AG403" i="1"/>
  <c r="AF403" i="1"/>
  <c r="AC403" i="1"/>
  <c r="AC404" i="1" s="1"/>
  <c r="X403" i="1"/>
  <c r="W403" i="1"/>
  <c r="Q403" i="1"/>
  <c r="O403" i="1" s="1"/>
  <c r="P403" i="1"/>
  <c r="J403" i="1"/>
  <c r="E403" i="1"/>
  <c r="F403" i="1" s="1"/>
  <c r="F401" i="1" s="1"/>
  <c r="BF402" i="1"/>
  <c r="BF400" i="1" s="1"/>
  <c r="AT402" i="1"/>
  <c r="AQ402" i="1"/>
  <c r="AL402" i="1"/>
  <c r="AJ402" i="1"/>
  <c r="AG402" i="1"/>
  <c r="AD402" i="1"/>
  <c r="AB402" i="1"/>
  <c r="Y402" i="1"/>
  <c r="W402" i="1"/>
  <c r="Z402" i="1" s="1"/>
  <c r="P402" i="1"/>
  <c r="O402" i="1"/>
  <c r="J402" i="1"/>
  <c r="F402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O401" i="1"/>
  <c r="AC401" i="1"/>
  <c r="U401" i="1"/>
  <c r="T401" i="1"/>
  <c r="I401" i="1"/>
  <c r="E401" i="1"/>
  <c r="BK400" i="1"/>
  <c r="BJ400" i="1"/>
  <c r="BI400" i="1"/>
  <c r="BE400" i="1"/>
  <c r="BD400" i="1"/>
  <c r="BC400" i="1"/>
  <c r="BB400" i="1"/>
  <c r="BA400" i="1"/>
  <c r="AY400" i="1"/>
  <c r="AX400" i="1"/>
  <c r="AW400" i="1"/>
  <c r="AV400" i="1"/>
  <c r="AU400" i="1"/>
  <c r="AS400" i="1"/>
  <c r="AO400" i="1"/>
  <c r="AN400" i="1"/>
  <c r="AM400" i="1"/>
  <c r="AK400" i="1"/>
  <c r="AH400" i="1"/>
  <c r="AE400" i="1"/>
  <c r="AD400" i="1"/>
  <c r="AC400" i="1"/>
  <c r="V400" i="1"/>
  <c r="U400" i="1"/>
  <c r="T400" i="1"/>
  <c r="S400" i="1"/>
  <c r="Q400" i="1"/>
  <c r="I400" i="1"/>
  <c r="H400" i="1"/>
  <c r="E400" i="1"/>
  <c r="AP399" i="1"/>
  <c r="AQ399" i="1" s="1"/>
  <c r="AN399" i="1"/>
  <c r="AL399" i="1"/>
  <c r="AI399" i="1"/>
  <c r="AF399" i="1"/>
  <c r="AG399" i="1" s="1"/>
  <c r="Z399" i="1"/>
  <c r="X399" i="1"/>
  <c r="AA399" i="1" s="1"/>
  <c r="W399" i="1"/>
  <c r="AP398" i="1"/>
  <c r="AQ398" i="1" s="1"/>
  <c r="AN398" i="1"/>
  <c r="AL398" i="1"/>
  <c r="AJ398" i="1"/>
  <c r="AJ399" i="1" s="1"/>
  <c r="AG398" i="1"/>
  <c r="Z398" i="1"/>
  <c r="X398" i="1"/>
  <c r="AA398" i="1" s="1"/>
  <c r="Q398" i="1"/>
  <c r="Q399" i="1" s="1"/>
  <c r="P398" i="1"/>
  <c r="N398" i="1" s="1"/>
  <c r="O398" i="1"/>
  <c r="AQ397" i="1"/>
  <c r="AL397" i="1"/>
  <c r="AK397" i="1"/>
  <c r="AJ397" i="1"/>
  <c r="AG397" i="1"/>
  <c r="AB397" i="1"/>
  <c r="AA397" i="1"/>
  <c r="Z397" i="1"/>
  <c r="X397" i="1"/>
  <c r="P397" i="1"/>
  <c r="O397" i="1"/>
  <c r="N397" i="1"/>
  <c r="AP396" i="1"/>
  <c r="AQ396" i="1" s="1"/>
  <c r="AN396" i="1"/>
  <c r="AL396" i="1"/>
  <c r="AI396" i="1"/>
  <c r="AF396" i="1"/>
  <c r="AG396" i="1" s="1"/>
  <c r="W396" i="1"/>
  <c r="Z396" i="1" s="1"/>
  <c r="AP395" i="1"/>
  <c r="AQ395" i="1" s="1"/>
  <c r="AN395" i="1"/>
  <c r="AL395" i="1"/>
  <c r="AJ395" i="1"/>
  <c r="AJ396" i="1" s="1"/>
  <c r="AG395" i="1"/>
  <c r="Z395" i="1"/>
  <c r="X395" i="1"/>
  <c r="AA395" i="1" s="1"/>
  <c r="Q395" i="1"/>
  <c r="Q396" i="1" s="1"/>
  <c r="P395" i="1"/>
  <c r="N395" i="1" s="1"/>
  <c r="O395" i="1"/>
  <c r="AQ394" i="1"/>
  <c r="AL394" i="1"/>
  <c r="AK394" i="1"/>
  <c r="AJ394" i="1"/>
  <c r="AG394" i="1"/>
  <c r="AB394" i="1"/>
  <c r="AA394" i="1"/>
  <c r="Z394" i="1"/>
  <c r="X394" i="1"/>
  <c r="P394" i="1"/>
  <c r="O394" i="1"/>
  <c r="N394" i="1"/>
  <c r="AL393" i="1"/>
  <c r="AI393" i="1"/>
  <c r="AF393" i="1"/>
  <c r="AG393" i="1" s="1"/>
  <c r="Z393" i="1"/>
  <c r="X393" i="1"/>
  <c r="AA393" i="1" s="1"/>
  <c r="W393" i="1"/>
  <c r="AP392" i="1"/>
  <c r="AQ392" i="1" s="1"/>
  <c r="AN392" i="1"/>
  <c r="AL392" i="1"/>
  <c r="AJ392" i="1"/>
  <c r="AJ393" i="1" s="1"/>
  <c r="AG392" i="1"/>
  <c r="Z392" i="1"/>
  <c r="X392" i="1"/>
  <c r="AA392" i="1" s="1"/>
  <c r="Q392" i="1"/>
  <c r="P392" i="1"/>
  <c r="N392" i="1" s="1"/>
  <c r="AQ391" i="1"/>
  <c r="AL391" i="1"/>
  <c r="AK391" i="1"/>
  <c r="AJ391" i="1"/>
  <c r="AG391" i="1"/>
  <c r="AB391" i="1"/>
  <c r="Z391" i="1"/>
  <c r="X391" i="1"/>
  <c r="AA391" i="1" s="1"/>
  <c r="P391" i="1"/>
  <c r="O391" i="1"/>
  <c r="N391" i="1"/>
  <c r="AL390" i="1"/>
  <c r="AI390" i="1"/>
  <c r="AG390" i="1"/>
  <c r="AF390" i="1"/>
  <c r="AN390" i="1" s="1"/>
  <c r="Z390" i="1"/>
  <c r="W390" i="1"/>
  <c r="X390" i="1" s="1"/>
  <c r="AA390" i="1" s="1"/>
  <c r="AQ389" i="1"/>
  <c r="AP389" i="1"/>
  <c r="AN389" i="1"/>
  <c r="AL389" i="1"/>
  <c r="AJ389" i="1"/>
  <c r="AJ390" i="1" s="1"/>
  <c r="AG389" i="1"/>
  <c r="Z389" i="1"/>
  <c r="X389" i="1"/>
  <c r="AA389" i="1" s="1"/>
  <c r="Q389" i="1"/>
  <c r="AQ388" i="1"/>
  <c r="AL388" i="1"/>
  <c r="AK388" i="1"/>
  <c r="AJ388" i="1"/>
  <c r="AG388" i="1"/>
  <c r="AB388" i="1"/>
  <c r="Z388" i="1"/>
  <c r="X388" i="1"/>
  <c r="AA388" i="1" s="1"/>
  <c r="AA377" i="1" s="1"/>
  <c r="P388" i="1"/>
  <c r="N388" i="1" s="1"/>
  <c r="O388" i="1"/>
  <c r="AL387" i="1"/>
  <c r="AI387" i="1"/>
  <c r="AF387" i="1"/>
  <c r="W387" i="1"/>
  <c r="Z387" i="1" s="1"/>
  <c r="Q387" i="1"/>
  <c r="P387" i="1"/>
  <c r="N387" i="1" s="1"/>
  <c r="O387" i="1"/>
  <c r="AQ386" i="1"/>
  <c r="AP386" i="1"/>
  <c r="AN386" i="1"/>
  <c r="AL386" i="1"/>
  <c r="AJ386" i="1"/>
  <c r="AJ387" i="1" s="1"/>
  <c r="AG386" i="1"/>
  <c r="Z386" i="1"/>
  <c r="X386" i="1"/>
  <c r="AA386" i="1" s="1"/>
  <c r="Q386" i="1"/>
  <c r="P386" i="1"/>
  <c r="O386" i="1"/>
  <c r="N386" i="1"/>
  <c r="AQ385" i="1"/>
  <c r="AL385" i="1"/>
  <c r="AK385" i="1"/>
  <c r="AJ385" i="1"/>
  <c r="AG385" i="1"/>
  <c r="AB385" i="1"/>
  <c r="Z385" i="1"/>
  <c r="X385" i="1"/>
  <c r="AA385" i="1" s="1"/>
  <c r="P385" i="1"/>
  <c r="P377" i="1" s="1"/>
  <c r="O385" i="1"/>
  <c r="AL384" i="1"/>
  <c r="AJ384" i="1"/>
  <c r="AI384" i="1"/>
  <c r="AF384" i="1"/>
  <c r="W384" i="1"/>
  <c r="Z384" i="1" s="1"/>
  <c r="Q384" i="1"/>
  <c r="P384" i="1"/>
  <c r="O384" i="1"/>
  <c r="N384" i="1"/>
  <c r="AP383" i="1"/>
  <c r="AQ383" i="1" s="1"/>
  <c r="AN383" i="1"/>
  <c r="AL383" i="1"/>
  <c r="AJ383" i="1"/>
  <c r="AG383" i="1"/>
  <c r="AA383" i="1"/>
  <c r="Z383" i="1"/>
  <c r="X383" i="1"/>
  <c r="Q383" i="1"/>
  <c r="P383" i="1"/>
  <c r="O383" i="1"/>
  <c r="N383" i="1"/>
  <c r="AQ382" i="1"/>
  <c r="AL382" i="1"/>
  <c r="AK382" i="1"/>
  <c r="AJ382" i="1"/>
  <c r="AG382" i="1"/>
  <c r="AB382" i="1"/>
  <c r="Z382" i="1"/>
  <c r="X382" i="1"/>
  <c r="AA382" i="1" s="1"/>
  <c r="P382" i="1"/>
  <c r="N382" i="1" s="1"/>
  <c r="O382" i="1"/>
  <c r="AQ381" i="1"/>
  <c r="AJ381" i="1"/>
  <c r="AI381" i="1"/>
  <c r="AF381" i="1"/>
  <c r="AC381" i="1"/>
  <c r="W381" i="1"/>
  <c r="Z381" i="1" s="1"/>
  <c r="Q381" i="1"/>
  <c r="O381" i="1" s="1"/>
  <c r="P381" i="1"/>
  <c r="N381" i="1" s="1"/>
  <c r="AQ380" i="1"/>
  <c r="AN380" i="1"/>
  <c r="AL380" i="1"/>
  <c r="AJ380" i="1"/>
  <c r="AG380" i="1"/>
  <c r="AD380" i="1"/>
  <c r="AD381" i="1" s="1"/>
  <c r="Z380" i="1"/>
  <c r="X380" i="1"/>
  <c r="AA380" i="1" s="1"/>
  <c r="Q380" i="1"/>
  <c r="I380" i="1"/>
  <c r="F380" i="1"/>
  <c r="E380" i="1"/>
  <c r="E381" i="1" s="1"/>
  <c r="AQ379" i="1"/>
  <c r="AG379" i="1"/>
  <c r="AG377" i="1" s="1"/>
  <c r="AF379" i="1"/>
  <c r="AL379" i="1" s="1"/>
  <c r="AE379" i="1"/>
  <c r="AK379" i="1" s="1"/>
  <c r="AD379" i="1"/>
  <c r="AD377" i="1" s="1"/>
  <c r="AB379" i="1"/>
  <c r="Z379" i="1"/>
  <c r="X379" i="1"/>
  <c r="AA379" i="1" s="1"/>
  <c r="Q379" i="1"/>
  <c r="O379" i="1"/>
  <c r="N379" i="1"/>
  <c r="J379" i="1"/>
  <c r="E379" i="1"/>
  <c r="F379" i="1" s="1"/>
  <c r="F377" i="1" s="1"/>
  <c r="BK378" i="1"/>
  <c r="BJ378" i="1"/>
  <c r="BI378" i="1"/>
  <c r="BF378" i="1"/>
  <c r="BE378" i="1"/>
  <c r="BD378" i="1"/>
  <c r="BC378" i="1"/>
  <c r="BB378" i="1"/>
  <c r="BA378" i="1"/>
  <c r="AZ378" i="1"/>
  <c r="AY378" i="1"/>
  <c r="AX378" i="1"/>
  <c r="AW378" i="1"/>
  <c r="AV378" i="1"/>
  <c r="AU378" i="1"/>
  <c r="AT378" i="1"/>
  <c r="AS378" i="1"/>
  <c r="AR378" i="1"/>
  <c r="AO378" i="1"/>
  <c r="AM378" i="1"/>
  <c r="AI378" i="1"/>
  <c r="AG378" i="1"/>
  <c r="AF378" i="1"/>
  <c r="AC378" i="1"/>
  <c r="AL378" i="1" s="1"/>
  <c r="W378" i="1"/>
  <c r="U378" i="1"/>
  <c r="T378" i="1"/>
  <c r="BK377" i="1"/>
  <c r="BJ377" i="1"/>
  <c r="BI377" i="1"/>
  <c r="BF377" i="1"/>
  <c r="BE377" i="1"/>
  <c r="BD377" i="1"/>
  <c r="BC377" i="1"/>
  <c r="BB377" i="1"/>
  <c r="BA377" i="1"/>
  <c r="AZ377" i="1"/>
  <c r="AY377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K377" i="1"/>
  <c r="AH377" i="1"/>
  <c r="AF377" i="1"/>
  <c r="AE377" i="1"/>
  <c r="AC377" i="1"/>
  <c r="AB377" i="1"/>
  <c r="Z377" i="1"/>
  <c r="Y377" i="1"/>
  <c r="X377" i="1"/>
  <c r="W377" i="1"/>
  <c r="V377" i="1"/>
  <c r="U377" i="1"/>
  <c r="T377" i="1"/>
  <c r="S377" i="1"/>
  <c r="Q377" i="1"/>
  <c r="O377" i="1"/>
  <c r="J377" i="1"/>
  <c r="I377" i="1"/>
  <c r="H377" i="1"/>
  <c r="E377" i="1"/>
  <c r="AP376" i="1"/>
  <c r="AQ376" i="1" s="1"/>
  <c r="AN376" i="1"/>
  <c r="AL376" i="1"/>
  <c r="AJ376" i="1"/>
  <c r="AI376" i="1"/>
  <c r="AG376" i="1"/>
  <c r="AF376" i="1"/>
  <c r="Z376" i="1"/>
  <c r="W376" i="1"/>
  <c r="X376" i="1" s="1"/>
  <c r="AA376" i="1" s="1"/>
  <c r="Q376" i="1"/>
  <c r="AP375" i="1"/>
  <c r="AN375" i="1"/>
  <c r="AL375" i="1"/>
  <c r="AJ375" i="1"/>
  <c r="AG375" i="1"/>
  <c r="AG355" i="1" s="1"/>
  <c r="AA375" i="1"/>
  <c r="Z375" i="1"/>
  <c r="X375" i="1"/>
  <c r="Q375" i="1"/>
  <c r="AQ374" i="1"/>
  <c r="AL374" i="1"/>
  <c r="AK374" i="1"/>
  <c r="AJ374" i="1"/>
  <c r="AG374" i="1"/>
  <c r="AB374" i="1"/>
  <c r="Z374" i="1"/>
  <c r="X374" i="1"/>
  <c r="P374" i="1"/>
  <c r="N374" i="1" s="1"/>
  <c r="O374" i="1"/>
  <c r="AQ373" i="1"/>
  <c r="AP373" i="1"/>
  <c r="AN373" i="1"/>
  <c r="AL373" i="1"/>
  <c r="AJ373" i="1"/>
  <c r="AI373" i="1"/>
  <c r="AF373" i="1"/>
  <c r="AG373" i="1" s="1"/>
  <c r="W373" i="1"/>
  <c r="Q373" i="1"/>
  <c r="AQ372" i="1"/>
  <c r="AP372" i="1"/>
  <c r="AN372" i="1"/>
  <c r="AL372" i="1"/>
  <c r="AJ372" i="1"/>
  <c r="AG372" i="1"/>
  <c r="Z372" i="1"/>
  <c r="X372" i="1"/>
  <c r="AA372" i="1" s="1"/>
  <c r="Q372" i="1"/>
  <c r="P372" i="1"/>
  <c r="O372" i="1"/>
  <c r="N372" i="1"/>
  <c r="AQ371" i="1"/>
  <c r="AL371" i="1"/>
  <c r="AK371" i="1"/>
  <c r="AJ371" i="1"/>
  <c r="AG371" i="1"/>
  <c r="AB371" i="1"/>
  <c r="AA371" i="1"/>
  <c r="Z371" i="1"/>
  <c r="X371" i="1"/>
  <c r="P371" i="1"/>
  <c r="O371" i="1"/>
  <c r="N371" i="1"/>
  <c r="AN370" i="1"/>
  <c r="AL370" i="1"/>
  <c r="AI370" i="1"/>
  <c r="AF370" i="1"/>
  <c r="W370" i="1"/>
  <c r="Z370" i="1" s="1"/>
  <c r="Q370" i="1"/>
  <c r="P370" i="1" s="1"/>
  <c r="N370" i="1" s="1"/>
  <c r="AP369" i="1"/>
  <c r="AQ369" i="1" s="1"/>
  <c r="AN369" i="1"/>
  <c r="AL369" i="1"/>
  <c r="AJ369" i="1"/>
  <c r="AJ370" i="1" s="1"/>
  <c r="AG369" i="1"/>
  <c r="Z369" i="1"/>
  <c r="X369" i="1"/>
  <c r="AA369" i="1" s="1"/>
  <c r="Q369" i="1"/>
  <c r="P369" i="1"/>
  <c r="N369" i="1" s="1"/>
  <c r="O369" i="1"/>
  <c r="AQ368" i="1"/>
  <c r="AL368" i="1"/>
  <c r="AK368" i="1"/>
  <c r="AJ368" i="1"/>
  <c r="AG368" i="1"/>
  <c r="AB368" i="1"/>
  <c r="AB354" i="1" s="1"/>
  <c r="AA368" i="1"/>
  <c r="Z368" i="1"/>
  <c r="X368" i="1"/>
  <c r="P368" i="1"/>
  <c r="O368" i="1"/>
  <c r="N368" i="1"/>
  <c r="AP367" i="1"/>
  <c r="AQ367" i="1" s="1"/>
  <c r="AN367" i="1"/>
  <c r="AL367" i="1"/>
  <c r="AI367" i="1"/>
  <c r="AG367" i="1"/>
  <c r="AF367" i="1"/>
  <c r="Z367" i="1"/>
  <c r="X367" i="1"/>
  <c r="AA367" i="1" s="1"/>
  <c r="W367" i="1"/>
  <c r="O367" i="1"/>
  <c r="AP366" i="1"/>
  <c r="AQ366" i="1" s="1"/>
  <c r="AN366" i="1"/>
  <c r="AN355" i="1" s="1"/>
  <c r="AL366" i="1"/>
  <c r="AJ366" i="1"/>
  <c r="AJ367" i="1" s="1"/>
  <c r="AG366" i="1"/>
  <c r="AA366" i="1"/>
  <c r="Z366" i="1"/>
  <c r="X366" i="1"/>
  <c r="Q366" i="1"/>
  <c r="Q367" i="1" s="1"/>
  <c r="P367" i="1" s="1"/>
  <c r="N367" i="1" s="1"/>
  <c r="P366" i="1"/>
  <c r="N366" i="1" s="1"/>
  <c r="AQ365" i="1"/>
  <c r="AL365" i="1"/>
  <c r="AK365" i="1"/>
  <c r="AJ365" i="1"/>
  <c r="AG365" i="1"/>
  <c r="AB365" i="1"/>
  <c r="AA365" i="1"/>
  <c r="Z365" i="1"/>
  <c r="X365" i="1"/>
  <c r="P365" i="1"/>
  <c r="N365" i="1" s="1"/>
  <c r="O365" i="1"/>
  <c r="AP364" i="1"/>
  <c r="AQ364" i="1" s="1"/>
  <c r="AN364" i="1"/>
  <c r="AL364" i="1"/>
  <c r="AI364" i="1"/>
  <c r="AF364" i="1"/>
  <c r="AG364" i="1" s="1"/>
  <c r="AA364" i="1"/>
  <c r="Z364" i="1"/>
  <c r="X364" i="1"/>
  <c r="W364" i="1"/>
  <c r="AQ363" i="1"/>
  <c r="AP363" i="1"/>
  <c r="AN363" i="1"/>
  <c r="AL363" i="1"/>
  <c r="AJ363" i="1"/>
  <c r="AJ364" i="1" s="1"/>
  <c r="AG363" i="1"/>
  <c r="Z363" i="1"/>
  <c r="X363" i="1"/>
  <c r="AA363" i="1" s="1"/>
  <c r="Q363" i="1"/>
  <c r="AQ362" i="1"/>
  <c r="AL362" i="1"/>
  <c r="AK362" i="1"/>
  <c r="AJ362" i="1"/>
  <c r="AG362" i="1"/>
  <c r="AB362" i="1"/>
  <c r="Z362" i="1"/>
  <c r="X362" i="1"/>
  <c r="AA362" i="1" s="1"/>
  <c r="P362" i="1"/>
  <c r="O362" i="1"/>
  <c r="N362" i="1"/>
  <c r="AP361" i="1"/>
  <c r="AQ361" i="1" s="1"/>
  <c r="AL361" i="1"/>
  <c r="AJ361" i="1"/>
  <c r="AI361" i="1"/>
  <c r="AF361" i="1"/>
  <c r="AA361" i="1"/>
  <c r="Z361" i="1"/>
  <c r="W361" i="1"/>
  <c r="X361" i="1" s="1"/>
  <c r="AQ360" i="1"/>
  <c r="AP360" i="1"/>
  <c r="AN360" i="1"/>
  <c r="AL360" i="1"/>
  <c r="AJ360" i="1"/>
  <c r="AG360" i="1"/>
  <c r="Z360" i="1"/>
  <c r="Z355" i="1" s="1"/>
  <c r="X360" i="1"/>
  <c r="AA360" i="1" s="1"/>
  <c r="Q360" i="1"/>
  <c r="AQ359" i="1"/>
  <c r="AL359" i="1"/>
  <c r="AK359" i="1"/>
  <c r="AJ359" i="1"/>
  <c r="AG359" i="1"/>
  <c r="AB359" i="1"/>
  <c r="Z359" i="1"/>
  <c r="X359" i="1"/>
  <c r="AA359" i="1" s="1"/>
  <c r="P359" i="1"/>
  <c r="O359" i="1"/>
  <c r="N359" i="1"/>
  <c r="AQ358" i="1"/>
  <c r="AJ358" i="1"/>
  <c r="AI358" i="1"/>
  <c r="AF358" i="1"/>
  <c r="X358" i="1"/>
  <c r="AA358" i="1" s="1"/>
  <c r="W358" i="1"/>
  <c r="Z358" i="1" s="1"/>
  <c r="AQ357" i="1"/>
  <c r="AN357" i="1"/>
  <c r="AJ357" i="1"/>
  <c r="AJ355" i="1" s="1"/>
  <c r="AG357" i="1"/>
  <c r="AC357" i="1"/>
  <c r="Z357" i="1"/>
  <c r="X357" i="1"/>
  <c r="AA357" i="1" s="1"/>
  <c r="AA355" i="1" s="1"/>
  <c r="Q357" i="1"/>
  <c r="P357" i="1"/>
  <c r="N357" i="1" s="1"/>
  <c r="J357" i="1"/>
  <c r="J358" i="1" s="1"/>
  <c r="I357" i="1"/>
  <c r="I358" i="1" s="1"/>
  <c r="E357" i="1"/>
  <c r="AQ356" i="1"/>
  <c r="AQ354" i="1" s="1"/>
  <c r="AL356" i="1"/>
  <c r="AI356" i="1"/>
  <c r="AF356" i="1"/>
  <c r="AG356" i="1" s="1"/>
  <c r="AE356" i="1"/>
  <c r="AC356" i="1"/>
  <c r="AD356" i="1" s="1"/>
  <c r="AD354" i="1" s="1"/>
  <c r="AB356" i="1"/>
  <c r="Z356" i="1"/>
  <c r="X356" i="1"/>
  <c r="AA356" i="1" s="1"/>
  <c r="Q356" i="1"/>
  <c r="O356" i="1"/>
  <c r="N356" i="1"/>
  <c r="J356" i="1"/>
  <c r="E356" i="1"/>
  <c r="F356" i="1" s="1"/>
  <c r="F354" i="1" s="1"/>
  <c r="BK355" i="1"/>
  <c r="BJ355" i="1"/>
  <c r="BI355" i="1"/>
  <c r="BF355" i="1"/>
  <c r="BE355" i="1"/>
  <c r="BD355" i="1"/>
  <c r="BC355" i="1"/>
  <c r="BB355" i="1"/>
  <c r="BA355" i="1"/>
  <c r="AZ355" i="1"/>
  <c r="AY355" i="1"/>
  <c r="AX355" i="1"/>
  <c r="AW355" i="1"/>
  <c r="AV355" i="1"/>
  <c r="AU355" i="1"/>
  <c r="AT355" i="1"/>
  <c r="AS355" i="1"/>
  <c r="AR355" i="1"/>
  <c r="AO355" i="1"/>
  <c r="AM355" i="1"/>
  <c r="AI355" i="1"/>
  <c r="AF355" i="1"/>
  <c r="X355" i="1"/>
  <c r="W355" i="1"/>
  <c r="U355" i="1"/>
  <c r="T355" i="1"/>
  <c r="J355" i="1"/>
  <c r="I355" i="1"/>
  <c r="E355" i="1"/>
  <c r="BK354" i="1"/>
  <c r="BJ354" i="1"/>
  <c r="BI354" i="1"/>
  <c r="BF354" i="1"/>
  <c r="BE354" i="1"/>
  <c r="BD354" i="1"/>
  <c r="BC354" i="1"/>
  <c r="BB354" i="1"/>
  <c r="BA354" i="1"/>
  <c r="AZ354" i="1"/>
  <c r="AY354" i="1"/>
  <c r="AX354" i="1"/>
  <c r="AW354" i="1"/>
  <c r="AV354" i="1"/>
  <c r="AU354" i="1"/>
  <c r="AT354" i="1"/>
  <c r="AS354" i="1"/>
  <c r="AR354" i="1"/>
  <c r="AP354" i="1"/>
  <c r="AO354" i="1"/>
  <c r="AN354" i="1"/>
  <c r="AM354" i="1"/>
  <c r="AH354" i="1"/>
  <c r="AF354" i="1"/>
  <c r="AC354" i="1"/>
  <c r="AL354" i="1" s="1"/>
  <c r="Y354" i="1"/>
  <c r="W354" i="1"/>
  <c r="V354" i="1"/>
  <c r="U354" i="1"/>
  <c r="T354" i="1"/>
  <c r="S354" i="1"/>
  <c r="Q354" i="1"/>
  <c r="P354" i="1"/>
  <c r="J354" i="1"/>
  <c r="I354" i="1"/>
  <c r="H354" i="1"/>
  <c r="E354" i="1"/>
  <c r="AQ353" i="1"/>
  <c r="AP353" i="1"/>
  <c r="AL353" i="1"/>
  <c r="AJ353" i="1"/>
  <c r="AI353" i="1"/>
  <c r="AF353" i="1"/>
  <c r="AG353" i="1" s="1"/>
  <c r="W353" i="1"/>
  <c r="Q353" i="1"/>
  <c r="O353" i="1" s="1"/>
  <c r="AQ352" i="1"/>
  <c r="AP352" i="1"/>
  <c r="AN352" i="1"/>
  <c r="AL352" i="1"/>
  <c r="AJ352" i="1"/>
  <c r="AG352" i="1"/>
  <c r="Z352" i="1"/>
  <c r="X352" i="1"/>
  <c r="AA352" i="1" s="1"/>
  <c r="Q352" i="1"/>
  <c r="P352" i="1" s="1"/>
  <c r="N352" i="1" s="1"/>
  <c r="O352" i="1"/>
  <c r="AQ351" i="1"/>
  <c r="AL351" i="1"/>
  <c r="AK351" i="1"/>
  <c r="AJ351" i="1"/>
  <c r="AG351" i="1"/>
  <c r="AB351" i="1"/>
  <c r="AA351" i="1"/>
  <c r="Z351" i="1"/>
  <c r="X351" i="1"/>
  <c r="P351" i="1"/>
  <c r="O351" i="1"/>
  <c r="N351" i="1"/>
  <c r="AL350" i="1"/>
  <c r="AJ350" i="1"/>
  <c r="AI350" i="1"/>
  <c r="AF350" i="1"/>
  <c r="AN350" i="1" s="1"/>
  <c r="W350" i="1"/>
  <c r="Z350" i="1" s="1"/>
  <c r="Q350" i="1"/>
  <c r="AQ349" i="1"/>
  <c r="AP349" i="1"/>
  <c r="AN349" i="1"/>
  <c r="AL349" i="1"/>
  <c r="AJ349" i="1"/>
  <c r="AG349" i="1"/>
  <c r="Z349" i="1"/>
  <c r="X349" i="1"/>
  <c r="AA349" i="1" s="1"/>
  <c r="Q349" i="1"/>
  <c r="P349" i="1"/>
  <c r="N349" i="1" s="1"/>
  <c r="O349" i="1"/>
  <c r="AQ348" i="1"/>
  <c r="AL348" i="1"/>
  <c r="AK348" i="1"/>
  <c r="AJ348" i="1"/>
  <c r="AG348" i="1"/>
  <c r="AB348" i="1"/>
  <c r="AA348" i="1"/>
  <c r="Z348" i="1"/>
  <c r="X348" i="1"/>
  <c r="P348" i="1"/>
  <c r="O348" i="1"/>
  <c r="N348" i="1"/>
  <c r="AP347" i="1"/>
  <c r="AQ347" i="1" s="1"/>
  <c r="AN347" i="1"/>
  <c r="AL347" i="1"/>
  <c r="AI347" i="1"/>
  <c r="AG347" i="1"/>
  <c r="AF347" i="1"/>
  <c r="W347" i="1"/>
  <c r="AP346" i="1"/>
  <c r="AN346" i="1"/>
  <c r="AL346" i="1"/>
  <c r="AJ346" i="1"/>
  <c r="AJ347" i="1" s="1"/>
  <c r="AG346" i="1"/>
  <c r="AA346" i="1"/>
  <c r="Z346" i="1"/>
  <c r="X346" i="1"/>
  <c r="Q346" i="1"/>
  <c r="AQ345" i="1"/>
  <c r="AL345" i="1"/>
  <c r="AK345" i="1"/>
  <c r="AJ345" i="1"/>
  <c r="AG345" i="1"/>
  <c r="AB345" i="1"/>
  <c r="AB331" i="1" s="1"/>
  <c r="AA345" i="1"/>
  <c r="Z345" i="1"/>
  <c r="X345" i="1"/>
  <c r="P345" i="1"/>
  <c r="N345" i="1" s="1"/>
  <c r="O345" i="1"/>
  <c r="AQ344" i="1"/>
  <c r="AP344" i="1"/>
  <c r="AN344" i="1"/>
  <c r="AL344" i="1"/>
  <c r="AI344" i="1"/>
  <c r="AG344" i="1"/>
  <c r="AF344" i="1"/>
  <c r="Z344" i="1"/>
  <c r="X344" i="1"/>
  <c r="AA344" i="1" s="1"/>
  <c r="W344" i="1"/>
  <c r="AQ343" i="1"/>
  <c r="AP343" i="1"/>
  <c r="AN343" i="1"/>
  <c r="AL343" i="1"/>
  <c r="AJ343" i="1"/>
  <c r="AJ344" i="1" s="1"/>
  <c r="AG343" i="1"/>
  <c r="Z343" i="1"/>
  <c r="X343" i="1"/>
  <c r="AA343" i="1" s="1"/>
  <c r="Q343" i="1"/>
  <c r="P343" i="1" s="1"/>
  <c r="N343" i="1" s="1"/>
  <c r="AQ342" i="1"/>
  <c r="AL342" i="1"/>
  <c r="AK342" i="1"/>
  <c r="AJ342" i="1"/>
  <c r="AG342" i="1"/>
  <c r="AB342" i="1"/>
  <c r="Z342" i="1"/>
  <c r="X342" i="1"/>
  <c r="AA342" i="1" s="1"/>
  <c r="P342" i="1"/>
  <c r="O342" i="1"/>
  <c r="N342" i="1"/>
  <c r="AP341" i="1"/>
  <c r="AQ341" i="1" s="1"/>
  <c r="AL341" i="1"/>
  <c r="AI341" i="1"/>
  <c r="AF341" i="1"/>
  <c r="Z341" i="1"/>
  <c r="W341" i="1"/>
  <c r="X341" i="1" s="1"/>
  <c r="AA341" i="1" s="1"/>
  <c r="Q341" i="1"/>
  <c r="AQ340" i="1"/>
  <c r="AP340" i="1"/>
  <c r="AN340" i="1"/>
  <c r="AL340" i="1"/>
  <c r="AJ340" i="1"/>
  <c r="AJ341" i="1" s="1"/>
  <c r="AG340" i="1"/>
  <c r="Z340" i="1"/>
  <c r="X340" i="1"/>
  <c r="AA340" i="1" s="1"/>
  <c r="Q340" i="1"/>
  <c r="AQ339" i="1"/>
  <c r="AL339" i="1"/>
  <c r="AK339" i="1"/>
  <c r="AJ339" i="1"/>
  <c r="AG339" i="1"/>
  <c r="AB339" i="1"/>
  <c r="Z339" i="1"/>
  <c r="X339" i="1"/>
  <c r="AA339" i="1" s="1"/>
  <c r="P339" i="1"/>
  <c r="O339" i="1"/>
  <c r="N339" i="1"/>
  <c r="AL338" i="1"/>
  <c r="AI338" i="1"/>
  <c r="AG338" i="1"/>
  <c r="AF338" i="1"/>
  <c r="W338" i="1"/>
  <c r="O338" i="1"/>
  <c r="N338" i="1"/>
  <c r="AQ337" i="1"/>
  <c r="AP337" i="1"/>
  <c r="AN337" i="1"/>
  <c r="AL337" i="1"/>
  <c r="AJ337" i="1"/>
  <c r="AJ338" i="1" s="1"/>
  <c r="AG337" i="1"/>
  <c r="Z337" i="1"/>
  <c r="X337" i="1"/>
  <c r="Q337" i="1"/>
  <c r="Q338" i="1" s="1"/>
  <c r="P338" i="1" s="1"/>
  <c r="P337" i="1"/>
  <c r="N337" i="1" s="1"/>
  <c r="O337" i="1"/>
  <c r="AQ336" i="1"/>
  <c r="AL336" i="1"/>
  <c r="AK336" i="1"/>
  <c r="AJ336" i="1"/>
  <c r="AG336" i="1"/>
  <c r="AB336" i="1"/>
  <c r="AA336" i="1"/>
  <c r="Z336" i="1"/>
  <c r="X336" i="1"/>
  <c r="P336" i="1"/>
  <c r="O336" i="1"/>
  <c r="N336" i="1"/>
  <c r="AN335" i="1"/>
  <c r="AI335" i="1"/>
  <c r="AG335" i="1"/>
  <c r="AF335" i="1"/>
  <c r="AC335" i="1"/>
  <c r="AL335" i="1" s="1"/>
  <c r="W335" i="1"/>
  <c r="Q335" i="1"/>
  <c r="O335" i="1" s="1"/>
  <c r="P335" i="1"/>
  <c r="N335" i="1" s="1"/>
  <c r="I335" i="1"/>
  <c r="AP335" i="1" s="1"/>
  <c r="AQ335" i="1" s="1"/>
  <c r="AQ334" i="1"/>
  <c r="AP334" i="1"/>
  <c r="AN334" i="1"/>
  <c r="AL334" i="1"/>
  <c r="AJ334" i="1"/>
  <c r="AJ335" i="1" s="1"/>
  <c r="AI334" i="1"/>
  <c r="AG334" i="1"/>
  <c r="AD334" i="1"/>
  <c r="AD335" i="1" s="1"/>
  <c r="AA334" i="1"/>
  <c r="Z334" i="1"/>
  <c r="X334" i="1"/>
  <c r="Q334" i="1"/>
  <c r="O334" i="1" s="1"/>
  <c r="P334" i="1"/>
  <c r="J334" i="1"/>
  <c r="J335" i="1" s="1"/>
  <c r="F334" i="1"/>
  <c r="E334" i="1"/>
  <c r="E335" i="1" s="1"/>
  <c r="AP333" i="1"/>
  <c r="AQ333" i="1" s="1"/>
  <c r="AQ331" i="1" s="1"/>
  <c r="AL333" i="1"/>
  <c r="AK333" i="1"/>
  <c r="AI333" i="1"/>
  <c r="AG333" i="1"/>
  <c r="AD333" i="1"/>
  <c r="AB333" i="1"/>
  <c r="Z333" i="1"/>
  <c r="X333" i="1"/>
  <c r="AA333" i="1" s="1"/>
  <c r="Q333" i="1"/>
  <c r="O333" i="1"/>
  <c r="O331" i="1" s="1"/>
  <c r="N333" i="1"/>
  <c r="J333" i="1"/>
  <c r="E333" i="1"/>
  <c r="F333" i="1" s="1"/>
  <c r="F331" i="1" s="1"/>
  <c r="BK332" i="1"/>
  <c r="BJ332" i="1"/>
  <c r="BI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O332" i="1"/>
  <c r="AN332" i="1"/>
  <c r="AM332" i="1"/>
  <c r="AI332" i="1"/>
  <c r="AF332" i="1"/>
  <c r="AD332" i="1"/>
  <c r="AC332" i="1"/>
  <c r="AL332" i="1" s="1"/>
  <c r="W332" i="1"/>
  <c r="U332" i="1"/>
  <c r="T332" i="1"/>
  <c r="J332" i="1"/>
  <c r="I332" i="1"/>
  <c r="BK331" i="1"/>
  <c r="BJ331" i="1"/>
  <c r="BI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P331" i="1"/>
  <c r="AO331" i="1"/>
  <c r="AN331" i="1"/>
  <c r="AM331" i="1"/>
  <c r="AH331" i="1"/>
  <c r="AF331" i="1"/>
  <c r="AE331" i="1"/>
  <c r="AD331" i="1"/>
  <c r="AC331" i="1"/>
  <c r="AL331" i="1" s="1"/>
  <c r="Y331" i="1"/>
  <c r="W331" i="1"/>
  <c r="V331" i="1"/>
  <c r="U331" i="1"/>
  <c r="T331" i="1"/>
  <c r="S331" i="1"/>
  <c r="Q331" i="1"/>
  <c r="P331" i="1"/>
  <c r="J331" i="1"/>
  <c r="I331" i="1"/>
  <c r="H331" i="1"/>
  <c r="E331" i="1"/>
  <c r="AQ330" i="1"/>
  <c r="AP330" i="1"/>
  <c r="AL330" i="1"/>
  <c r="AI330" i="1"/>
  <c r="AF330" i="1"/>
  <c r="AG330" i="1" s="1"/>
  <c r="W330" i="1"/>
  <c r="Q330" i="1"/>
  <c r="O330" i="1" s="1"/>
  <c r="AQ329" i="1"/>
  <c r="AP329" i="1"/>
  <c r="AN329" i="1"/>
  <c r="AL329" i="1"/>
  <c r="AJ329" i="1"/>
  <c r="AG329" i="1"/>
  <c r="Z329" i="1"/>
  <c r="X329" i="1"/>
  <c r="AA329" i="1" s="1"/>
  <c r="Q329" i="1"/>
  <c r="P329" i="1" s="1"/>
  <c r="O329" i="1"/>
  <c r="N329" i="1"/>
  <c r="AQ328" i="1"/>
  <c r="AL328" i="1"/>
  <c r="AK328" i="1"/>
  <c r="AJ328" i="1"/>
  <c r="AG328" i="1"/>
  <c r="AB328" i="1"/>
  <c r="Z328" i="1"/>
  <c r="X328" i="1"/>
  <c r="AA328" i="1" s="1"/>
  <c r="P328" i="1"/>
  <c r="O328" i="1"/>
  <c r="N328" i="1"/>
  <c r="AL327" i="1"/>
  <c r="AJ327" i="1"/>
  <c r="AI327" i="1"/>
  <c r="AF327" i="1"/>
  <c r="X327" i="1"/>
  <c r="AA327" i="1" s="1"/>
  <c r="W327" i="1"/>
  <c r="Z327" i="1" s="1"/>
  <c r="AP326" i="1"/>
  <c r="AQ326" i="1" s="1"/>
  <c r="AN326" i="1"/>
  <c r="AL326" i="1"/>
  <c r="AJ326" i="1"/>
  <c r="AG326" i="1"/>
  <c r="Z326" i="1"/>
  <c r="X326" i="1"/>
  <c r="AA326" i="1" s="1"/>
  <c r="Q326" i="1"/>
  <c r="AQ325" i="1"/>
  <c r="AL325" i="1"/>
  <c r="AK325" i="1"/>
  <c r="AJ325" i="1"/>
  <c r="AG325" i="1"/>
  <c r="AB325" i="1"/>
  <c r="AA325" i="1"/>
  <c r="Z325" i="1"/>
  <c r="X325" i="1"/>
  <c r="P325" i="1"/>
  <c r="O325" i="1"/>
  <c r="N325" i="1"/>
  <c r="AL324" i="1"/>
  <c r="AI324" i="1"/>
  <c r="AF324" i="1"/>
  <c r="Z324" i="1"/>
  <c r="W324" i="1"/>
  <c r="X324" i="1" s="1"/>
  <c r="AA324" i="1" s="1"/>
  <c r="AQ323" i="1"/>
  <c r="AP323" i="1"/>
  <c r="AN323" i="1"/>
  <c r="AN309" i="1" s="1"/>
  <c r="AL323" i="1"/>
  <c r="AJ323" i="1"/>
  <c r="AJ324" i="1" s="1"/>
  <c r="AG323" i="1"/>
  <c r="Z323" i="1"/>
  <c r="X323" i="1"/>
  <c r="AA323" i="1" s="1"/>
  <c r="Q323" i="1"/>
  <c r="Q324" i="1" s="1"/>
  <c r="P324" i="1" s="1"/>
  <c r="N324" i="1" s="1"/>
  <c r="P323" i="1"/>
  <c r="N323" i="1" s="1"/>
  <c r="AQ322" i="1"/>
  <c r="AL322" i="1"/>
  <c r="AK322" i="1"/>
  <c r="AJ322" i="1"/>
  <c r="AG322" i="1"/>
  <c r="AB322" i="1"/>
  <c r="Z322" i="1"/>
  <c r="X322" i="1"/>
  <c r="AA322" i="1" s="1"/>
  <c r="P322" i="1"/>
  <c r="O322" i="1"/>
  <c r="N322" i="1"/>
  <c r="AP321" i="1"/>
  <c r="AQ321" i="1" s="1"/>
  <c r="AL321" i="1"/>
  <c r="AI321" i="1"/>
  <c r="AF321" i="1"/>
  <c r="Z321" i="1"/>
  <c r="W321" i="1"/>
  <c r="X321" i="1" s="1"/>
  <c r="AA321" i="1" s="1"/>
  <c r="AP320" i="1"/>
  <c r="AQ320" i="1" s="1"/>
  <c r="AN320" i="1"/>
  <c r="AL320" i="1"/>
  <c r="AJ320" i="1"/>
  <c r="AJ321" i="1" s="1"/>
  <c r="AG320" i="1"/>
  <c r="Z320" i="1"/>
  <c r="X320" i="1"/>
  <c r="AA320" i="1" s="1"/>
  <c r="Q320" i="1"/>
  <c r="AQ319" i="1"/>
  <c r="AL319" i="1"/>
  <c r="AK319" i="1"/>
  <c r="AJ319" i="1"/>
  <c r="AG319" i="1"/>
  <c r="AB319" i="1"/>
  <c r="Z319" i="1"/>
  <c r="X319" i="1"/>
  <c r="AA319" i="1" s="1"/>
  <c r="P319" i="1"/>
  <c r="O319" i="1"/>
  <c r="N319" i="1"/>
  <c r="AL318" i="1"/>
  <c r="AI318" i="1"/>
  <c r="AG318" i="1"/>
  <c r="AF318" i="1"/>
  <c r="AP318" i="1" s="1"/>
  <c r="AQ318" i="1" s="1"/>
  <c r="AA318" i="1"/>
  <c r="X318" i="1"/>
  <c r="W318" i="1"/>
  <c r="Z318" i="1" s="1"/>
  <c r="Q318" i="1"/>
  <c r="P318" i="1" s="1"/>
  <c r="N318" i="1" s="1"/>
  <c r="O318" i="1"/>
  <c r="AQ317" i="1"/>
  <c r="AP317" i="1"/>
  <c r="AN317" i="1"/>
  <c r="AL317" i="1"/>
  <c r="AJ317" i="1"/>
  <c r="AJ318" i="1" s="1"/>
  <c r="AG317" i="1"/>
  <c r="Z317" i="1"/>
  <c r="X317" i="1"/>
  <c r="Q317" i="1"/>
  <c r="P317" i="1"/>
  <c r="N317" i="1" s="1"/>
  <c r="O317" i="1"/>
  <c r="AQ316" i="1"/>
  <c r="AL316" i="1"/>
  <c r="AK316" i="1"/>
  <c r="AJ316" i="1"/>
  <c r="AG316" i="1"/>
  <c r="AB316" i="1"/>
  <c r="AA316" i="1"/>
  <c r="Z316" i="1"/>
  <c r="X316" i="1"/>
  <c r="P316" i="1"/>
  <c r="P308" i="1" s="1"/>
  <c r="O316" i="1"/>
  <c r="AL315" i="1"/>
  <c r="AI315" i="1"/>
  <c r="AF315" i="1"/>
  <c r="W315" i="1"/>
  <c r="Z315" i="1" s="1"/>
  <c r="AP314" i="1"/>
  <c r="AQ314" i="1" s="1"/>
  <c r="AN314" i="1"/>
  <c r="AL314" i="1"/>
  <c r="AJ314" i="1"/>
  <c r="AJ315" i="1" s="1"/>
  <c r="AG314" i="1"/>
  <c r="AG309" i="1" s="1"/>
  <c r="AA314" i="1"/>
  <c r="Z314" i="1"/>
  <c r="X314" i="1"/>
  <c r="Q314" i="1"/>
  <c r="P314" i="1" s="1"/>
  <c r="N314" i="1" s="1"/>
  <c r="O314" i="1"/>
  <c r="AQ313" i="1"/>
  <c r="AQ308" i="1" s="1"/>
  <c r="AL313" i="1"/>
  <c r="AK313" i="1"/>
  <c r="AK308" i="1" s="1"/>
  <c r="AJ313" i="1"/>
  <c r="AG313" i="1"/>
  <c r="AB313" i="1"/>
  <c r="Z313" i="1"/>
  <c r="X313" i="1"/>
  <c r="P313" i="1"/>
  <c r="N313" i="1" s="1"/>
  <c r="O313" i="1"/>
  <c r="AQ312" i="1"/>
  <c r="AP312" i="1"/>
  <c r="AN312" i="1"/>
  <c r="AJ312" i="1"/>
  <c r="AI312" i="1"/>
  <c r="AG312" i="1"/>
  <c r="AF312" i="1"/>
  <c r="AC312" i="1"/>
  <c r="AL312" i="1" s="1"/>
  <c r="X312" i="1"/>
  <c r="AA312" i="1" s="1"/>
  <c r="W312" i="1"/>
  <c r="Z312" i="1" s="1"/>
  <c r="AQ311" i="1"/>
  <c r="AP311" i="1"/>
  <c r="AN311" i="1"/>
  <c r="AL311" i="1"/>
  <c r="AJ311" i="1"/>
  <c r="AG311" i="1"/>
  <c r="AD311" i="1"/>
  <c r="AD312" i="1" s="1"/>
  <c r="AA311" i="1"/>
  <c r="Z311" i="1"/>
  <c r="X311" i="1"/>
  <c r="J311" i="1"/>
  <c r="I311" i="1"/>
  <c r="I309" i="1" s="1"/>
  <c r="AQ310" i="1"/>
  <c r="AL310" i="1"/>
  <c r="AK310" i="1"/>
  <c r="AJ310" i="1"/>
  <c r="AG310" i="1"/>
  <c r="AD310" i="1"/>
  <c r="AD308" i="1" s="1"/>
  <c r="AB310" i="1"/>
  <c r="AB308" i="1" s="1"/>
  <c r="Z310" i="1"/>
  <c r="X310" i="1"/>
  <c r="AA310" i="1" s="1"/>
  <c r="Q310" i="1"/>
  <c r="Q308" i="1" s="1"/>
  <c r="N310" i="1"/>
  <c r="J310" i="1"/>
  <c r="J308" i="1" s="1"/>
  <c r="F310" i="1"/>
  <c r="E310" i="1"/>
  <c r="E311" i="1" s="1"/>
  <c r="BK309" i="1"/>
  <c r="BJ309" i="1"/>
  <c r="BI309" i="1"/>
  <c r="BF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O309" i="1"/>
  <c r="AM309" i="1"/>
  <c r="AI309" i="1"/>
  <c r="AF309" i="1"/>
  <c r="AC309" i="1"/>
  <c r="AL309" i="1" s="1"/>
  <c r="W309" i="1"/>
  <c r="U309" i="1"/>
  <c r="T309" i="1"/>
  <c r="BK308" i="1"/>
  <c r="BJ308" i="1"/>
  <c r="BI308" i="1"/>
  <c r="BF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P308" i="1"/>
  <c r="AO308" i="1"/>
  <c r="AN308" i="1"/>
  <c r="AM308" i="1"/>
  <c r="AI308" i="1"/>
  <c r="AH308" i="1"/>
  <c r="AF308" i="1"/>
  <c r="AE308" i="1"/>
  <c r="AC308" i="1"/>
  <c r="AL308" i="1" s="1"/>
  <c r="Y308" i="1"/>
  <c r="W308" i="1"/>
  <c r="V308" i="1"/>
  <c r="U308" i="1"/>
  <c r="T308" i="1"/>
  <c r="S308" i="1"/>
  <c r="I308" i="1"/>
  <c r="H308" i="1"/>
  <c r="F308" i="1"/>
  <c r="E308" i="1"/>
  <c r="AQ307" i="1"/>
  <c r="AP307" i="1"/>
  <c r="AN307" i="1"/>
  <c r="AL307" i="1"/>
  <c r="AI307" i="1"/>
  <c r="AG307" i="1"/>
  <c r="AF307" i="1"/>
  <c r="Z307" i="1"/>
  <c r="X307" i="1"/>
  <c r="AA307" i="1" s="1"/>
  <c r="W307" i="1"/>
  <c r="Q307" i="1"/>
  <c r="P307" i="1" s="1"/>
  <c r="N307" i="1" s="1"/>
  <c r="O307" i="1"/>
  <c r="AQ306" i="1"/>
  <c r="AP306" i="1"/>
  <c r="AN306" i="1"/>
  <c r="AL306" i="1"/>
  <c r="AJ306" i="1"/>
  <c r="AJ307" i="1" s="1"/>
  <c r="AG306" i="1"/>
  <c r="AA306" i="1"/>
  <c r="Z306" i="1"/>
  <c r="X306" i="1"/>
  <c r="Q306" i="1"/>
  <c r="O306" i="1" s="1"/>
  <c r="P306" i="1"/>
  <c r="N306" i="1"/>
  <c r="BT305" i="1"/>
  <c r="BS305" i="1"/>
  <c r="AQ305" i="1"/>
  <c r="AL305" i="1"/>
  <c r="AK305" i="1"/>
  <c r="AJ305" i="1"/>
  <c r="AG305" i="1"/>
  <c r="AB305" i="1"/>
  <c r="AA305" i="1"/>
  <c r="Z305" i="1"/>
  <c r="Z285" i="1" s="1"/>
  <c r="X305" i="1"/>
  <c r="P305" i="1"/>
  <c r="O305" i="1"/>
  <c r="N305" i="1"/>
  <c r="AP304" i="1"/>
  <c r="AQ304" i="1" s="1"/>
  <c r="AN304" i="1"/>
  <c r="AL304" i="1"/>
  <c r="AI304" i="1"/>
  <c r="AF304" i="1"/>
  <c r="AG304" i="1" s="1"/>
  <c r="Z304" i="1"/>
  <c r="W304" i="1"/>
  <c r="X304" i="1" s="1"/>
  <c r="AA304" i="1" s="1"/>
  <c r="AP303" i="1"/>
  <c r="AQ303" i="1" s="1"/>
  <c r="AN303" i="1"/>
  <c r="AL303" i="1"/>
  <c r="AJ303" i="1"/>
  <c r="AJ304" i="1" s="1"/>
  <c r="AG303" i="1"/>
  <c r="AA303" i="1"/>
  <c r="Z303" i="1"/>
  <c r="X303" i="1"/>
  <c r="Q303" i="1"/>
  <c r="O303" i="1" s="1"/>
  <c r="BS302" i="1"/>
  <c r="AQ302" i="1"/>
  <c r="AL302" i="1"/>
  <c r="AK302" i="1"/>
  <c r="BT302" i="1" s="1"/>
  <c r="AJ302" i="1"/>
  <c r="AG302" i="1"/>
  <c r="AB302" i="1"/>
  <c r="Z302" i="1"/>
  <c r="X302" i="1"/>
  <c r="AA302" i="1" s="1"/>
  <c r="P302" i="1"/>
  <c r="O302" i="1"/>
  <c r="N302" i="1"/>
  <c r="AQ301" i="1"/>
  <c r="AL301" i="1"/>
  <c r="AI301" i="1"/>
  <c r="AG301" i="1"/>
  <c r="AF301" i="1"/>
  <c r="AP301" i="1" s="1"/>
  <c r="AA301" i="1"/>
  <c r="X301" i="1"/>
  <c r="W301" i="1"/>
  <c r="Z301" i="1" s="1"/>
  <c r="Q301" i="1"/>
  <c r="P301" i="1" s="1"/>
  <c r="N301" i="1" s="1"/>
  <c r="O301" i="1"/>
  <c r="AQ300" i="1"/>
  <c r="AP300" i="1"/>
  <c r="AN300" i="1"/>
  <c r="AL300" i="1"/>
  <c r="AJ300" i="1"/>
  <c r="AJ301" i="1" s="1"/>
  <c r="AG300" i="1"/>
  <c r="AA300" i="1"/>
  <c r="Z300" i="1"/>
  <c r="X300" i="1"/>
  <c r="Q300" i="1"/>
  <c r="P300" i="1"/>
  <c r="O300" i="1"/>
  <c r="N300" i="1"/>
  <c r="BS299" i="1"/>
  <c r="AQ299" i="1"/>
  <c r="AL299" i="1"/>
  <c r="AK299" i="1"/>
  <c r="AJ299" i="1"/>
  <c r="AG299" i="1"/>
  <c r="AB299" i="1"/>
  <c r="Z299" i="1"/>
  <c r="X299" i="1"/>
  <c r="AA299" i="1" s="1"/>
  <c r="P299" i="1"/>
  <c r="N299" i="1" s="1"/>
  <c r="O299" i="1"/>
  <c r="AQ298" i="1"/>
  <c r="AP298" i="1"/>
  <c r="AN298" i="1"/>
  <c r="AL298" i="1"/>
  <c r="AJ298" i="1"/>
  <c r="AI298" i="1"/>
  <c r="AG298" i="1"/>
  <c r="AF298" i="1"/>
  <c r="Z298" i="1"/>
  <c r="X298" i="1"/>
  <c r="AA298" i="1" s="1"/>
  <c r="W298" i="1"/>
  <c r="Q298" i="1"/>
  <c r="P298" i="1" s="1"/>
  <c r="N298" i="1" s="1"/>
  <c r="O298" i="1"/>
  <c r="AQ297" i="1"/>
  <c r="AP297" i="1"/>
  <c r="AN297" i="1"/>
  <c r="AL297" i="1"/>
  <c r="AJ297" i="1"/>
  <c r="AG297" i="1"/>
  <c r="AA297" i="1"/>
  <c r="Z297" i="1"/>
  <c r="X297" i="1"/>
  <c r="Q297" i="1"/>
  <c r="O297" i="1" s="1"/>
  <c r="P297" i="1"/>
  <c r="N297" i="1"/>
  <c r="BT296" i="1"/>
  <c r="BS296" i="1"/>
  <c r="AQ296" i="1"/>
  <c r="AL296" i="1"/>
  <c r="AK296" i="1"/>
  <c r="AJ296" i="1"/>
  <c r="AG296" i="1"/>
  <c r="AB296" i="1"/>
  <c r="AA296" i="1"/>
  <c r="Z296" i="1"/>
  <c r="X296" i="1"/>
  <c r="P296" i="1"/>
  <c r="O296" i="1"/>
  <c r="N296" i="1"/>
  <c r="AP295" i="1"/>
  <c r="AQ295" i="1" s="1"/>
  <c r="AN295" i="1"/>
  <c r="AL295" i="1"/>
  <c r="AI295" i="1"/>
  <c r="AF295" i="1"/>
  <c r="AG295" i="1" s="1"/>
  <c r="Z295" i="1"/>
  <c r="W295" i="1"/>
  <c r="X295" i="1" s="1"/>
  <c r="AA295" i="1" s="1"/>
  <c r="AP294" i="1"/>
  <c r="AQ294" i="1" s="1"/>
  <c r="AN294" i="1"/>
  <c r="AL294" i="1"/>
  <c r="AJ294" i="1"/>
  <c r="AJ295" i="1" s="1"/>
  <c r="AG294" i="1"/>
  <c r="AA294" i="1"/>
  <c r="Z294" i="1"/>
  <c r="X294" i="1"/>
  <c r="Q294" i="1"/>
  <c r="BS293" i="1"/>
  <c r="AQ293" i="1"/>
  <c r="AL293" i="1"/>
  <c r="AK293" i="1"/>
  <c r="AJ293" i="1"/>
  <c r="AJ285" i="1" s="1"/>
  <c r="AG293" i="1"/>
  <c r="AB293" i="1"/>
  <c r="AB285" i="1" s="1"/>
  <c r="Z293" i="1"/>
  <c r="X293" i="1"/>
  <c r="AA293" i="1" s="1"/>
  <c r="P293" i="1"/>
  <c r="O293" i="1"/>
  <c r="N293" i="1"/>
  <c r="AP292" i="1"/>
  <c r="AQ292" i="1" s="1"/>
  <c r="AL292" i="1"/>
  <c r="AI292" i="1"/>
  <c r="AF292" i="1"/>
  <c r="Z292" i="1"/>
  <c r="W292" i="1"/>
  <c r="X292" i="1" s="1"/>
  <c r="AA292" i="1" s="1"/>
  <c r="AP291" i="1"/>
  <c r="AN291" i="1"/>
  <c r="AL291" i="1"/>
  <c r="AJ291" i="1"/>
  <c r="AJ292" i="1" s="1"/>
  <c r="AG291" i="1"/>
  <c r="AG286" i="1" s="1"/>
  <c r="Z291" i="1"/>
  <c r="X291" i="1"/>
  <c r="X286" i="1" s="1"/>
  <c r="Q291" i="1"/>
  <c r="BS290" i="1"/>
  <c r="AQ290" i="1"/>
  <c r="AQ285" i="1" s="1"/>
  <c r="AL290" i="1"/>
  <c r="AK290" i="1"/>
  <c r="AJ290" i="1"/>
  <c r="AG290" i="1"/>
  <c r="AB290" i="1"/>
  <c r="Z290" i="1"/>
  <c r="X290" i="1"/>
  <c r="P290" i="1"/>
  <c r="N290" i="1" s="1"/>
  <c r="O290" i="1"/>
  <c r="AQ289" i="1"/>
  <c r="AP289" i="1"/>
  <c r="AN289" i="1"/>
  <c r="AJ289" i="1"/>
  <c r="AI289" i="1"/>
  <c r="AG289" i="1"/>
  <c r="AF289" i="1"/>
  <c r="AC289" i="1"/>
  <c r="AL289" i="1" s="1"/>
  <c r="X289" i="1"/>
  <c r="AA289" i="1" s="1"/>
  <c r="W289" i="1"/>
  <c r="Z289" i="1" s="1"/>
  <c r="Q289" i="1"/>
  <c r="AQ288" i="1"/>
  <c r="AP288" i="1"/>
  <c r="AN288" i="1"/>
  <c r="AL288" i="1"/>
  <c r="AJ288" i="1"/>
  <c r="AG288" i="1"/>
  <c r="AD288" i="1"/>
  <c r="AA288" i="1"/>
  <c r="Z288" i="1"/>
  <c r="X288" i="1"/>
  <c r="Q288" i="1"/>
  <c r="P288" i="1" s="1"/>
  <c r="N288" i="1" s="1"/>
  <c r="O288" i="1"/>
  <c r="J288" i="1"/>
  <c r="I288" i="1"/>
  <c r="I289" i="1" s="1"/>
  <c r="BS287" i="1"/>
  <c r="AQ287" i="1"/>
  <c r="AL287" i="1"/>
  <c r="AK287" i="1"/>
  <c r="AJ287" i="1"/>
  <c r="AG287" i="1"/>
  <c r="AG285" i="1" s="1"/>
  <c r="AD287" i="1"/>
  <c r="AD285" i="1" s="1"/>
  <c r="AB287" i="1"/>
  <c r="Z287" i="1"/>
  <c r="X287" i="1"/>
  <c r="AA287" i="1" s="1"/>
  <c r="Q287" i="1"/>
  <c r="O287" i="1"/>
  <c r="N287" i="1"/>
  <c r="J287" i="1"/>
  <c r="J285" i="1" s="1"/>
  <c r="J135" i="1" s="1"/>
  <c r="E287" i="1"/>
  <c r="E288" i="1" s="1"/>
  <c r="BK286" i="1"/>
  <c r="BJ286" i="1"/>
  <c r="BI286" i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O286" i="1"/>
  <c r="AN286" i="1"/>
  <c r="AM286" i="1"/>
  <c r="AI286" i="1"/>
  <c r="AF286" i="1"/>
  <c r="AC286" i="1"/>
  <c r="AL286" i="1" s="1"/>
  <c r="W286" i="1"/>
  <c r="U286" i="1"/>
  <c r="T286" i="1"/>
  <c r="I286" i="1"/>
  <c r="BK285" i="1"/>
  <c r="BJ285" i="1"/>
  <c r="BI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P285" i="1"/>
  <c r="AO285" i="1"/>
  <c r="AN285" i="1"/>
  <c r="AM285" i="1"/>
  <c r="AL285" i="1"/>
  <c r="AI285" i="1"/>
  <c r="AH285" i="1"/>
  <c r="AF285" i="1"/>
  <c r="AE285" i="1"/>
  <c r="AC285" i="1"/>
  <c r="Y285" i="1"/>
  <c r="W285" i="1"/>
  <c r="V285" i="1"/>
  <c r="U285" i="1"/>
  <c r="T285" i="1"/>
  <c r="S285" i="1"/>
  <c r="Q285" i="1"/>
  <c r="P285" i="1"/>
  <c r="I285" i="1"/>
  <c r="H285" i="1"/>
  <c r="E285" i="1"/>
  <c r="AP284" i="1"/>
  <c r="AQ284" i="1" s="1"/>
  <c r="AL284" i="1"/>
  <c r="AJ284" i="1"/>
  <c r="AI284" i="1"/>
  <c r="AF284" i="1"/>
  <c r="AG284" i="1" s="1"/>
  <c r="W284" i="1"/>
  <c r="Q284" i="1"/>
  <c r="O284" i="1" s="1"/>
  <c r="AP283" i="1"/>
  <c r="AQ283" i="1" s="1"/>
  <c r="AM283" i="1"/>
  <c r="AL283" i="1"/>
  <c r="AJ283" i="1"/>
  <c r="AG283" i="1"/>
  <c r="AF283" i="1"/>
  <c r="Z283" i="1"/>
  <c r="X283" i="1"/>
  <c r="AA283" i="1" s="1"/>
  <c r="Q283" i="1"/>
  <c r="P283" i="1"/>
  <c r="N283" i="1" s="1"/>
  <c r="O283" i="1"/>
  <c r="AQ282" i="1"/>
  <c r="AL282" i="1"/>
  <c r="AK282" i="1"/>
  <c r="AJ282" i="1"/>
  <c r="AG282" i="1"/>
  <c r="AB282" i="1"/>
  <c r="AA282" i="1"/>
  <c r="Z282" i="1"/>
  <c r="Y282" i="1"/>
  <c r="X282" i="1"/>
  <c r="W282" i="1"/>
  <c r="P282" i="1"/>
  <c r="O282" i="1"/>
  <c r="N282" i="1"/>
  <c r="AQ281" i="1"/>
  <c r="AP281" i="1"/>
  <c r="AL281" i="1"/>
  <c r="AI281" i="1"/>
  <c r="AF281" i="1"/>
  <c r="Z281" i="1"/>
  <c r="W281" i="1"/>
  <c r="X281" i="1" s="1"/>
  <c r="AA281" i="1" s="1"/>
  <c r="Q281" i="1"/>
  <c r="O281" i="1" s="1"/>
  <c r="P281" i="1"/>
  <c r="N281" i="1"/>
  <c r="AQ280" i="1"/>
  <c r="AP280" i="1"/>
  <c r="AL280" i="1"/>
  <c r="AJ280" i="1"/>
  <c r="AJ281" i="1" s="1"/>
  <c r="AG280" i="1"/>
  <c r="AF280" i="1"/>
  <c r="AM280" i="1" s="1"/>
  <c r="Z280" i="1"/>
  <c r="X280" i="1"/>
  <c r="AA280" i="1" s="1"/>
  <c r="Q280" i="1"/>
  <c r="P280" i="1"/>
  <c r="O280" i="1"/>
  <c r="N280" i="1"/>
  <c r="AQ279" i="1"/>
  <c r="AL279" i="1"/>
  <c r="AK279" i="1"/>
  <c r="AK262" i="1" s="1"/>
  <c r="AJ279" i="1"/>
  <c r="AG279" i="1"/>
  <c r="AB279" i="1"/>
  <c r="Z279" i="1"/>
  <c r="Y279" i="1"/>
  <c r="X279" i="1"/>
  <c r="AA279" i="1" s="1"/>
  <c r="P279" i="1"/>
  <c r="N279" i="1" s="1"/>
  <c r="O279" i="1"/>
  <c r="O262" i="1" s="1"/>
  <c r="AL278" i="1"/>
  <c r="AI278" i="1"/>
  <c r="Z278" i="1"/>
  <c r="X278" i="1"/>
  <c r="AA278" i="1" s="1"/>
  <c r="W278" i="1"/>
  <c r="AM277" i="1"/>
  <c r="AL277" i="1"/>
  <c r="AJ277" i="1"/>
  <c r="AJ278" i="1" s="1"/>
  <c r="AG277" i="1"/>
  <c r="AF277" i="1"/>
  <c r="Z277" i="1"/>
  <c r="X277" i="1"/>
  <c r="AA277" i="1" s="1"/>
  <c r="Q277" i="1"/>
  <c r="AQ276" i="1"/>
  <c r="AL276" i="1"/>
  <c r="AK276" i="1"/>
  <c r="AJ276" i="1"/>
  <c r="AG276" i="1"/>
  <c r="AA276" i="1"/>
  <c r="Z276" i="1"/>
  <c r="Y276" i="1"/>
  <c r="AB276" i="1" s="1"/>
  <c r="X276" i="1"/>
  <c r="P276" i="1"/>
  <c r="N276" i="1" s="1"/>
  <c r="O276" i="1"/>
  <c r="AP275" i="1"/>
  <c r="AQ275" i="1" s="1"/>
  <c r="AM275" i="1"/>
  <c r="AL275" i="1"/>
  <c r="AI275" i="1"/>
  <c r="AF275" i="1"/>
  <c r="AG275" i="1" s="1"/>
  <c r="Z275" i="1"/>
  <c r="X275" i="1"/>
  <c r="AA275" i="1" s="1"/>
  <c r="W275" i="1"/>
  <c r="AP274" i="1"/>
  <c r="AQ274" i="1" s="1"/>
  <c r="AM274" i="1"/>
  <c r="AL274" i="1"/>
  <c r="AJ274" i="1"/>
  <c r="AJ275" i="1" s="1"/>
  <c r="AG274" i="1"/>
  <c r="AF274" i="1"/>
  <c r="AA274" i="1"/>
  <c r="Z274" i="1"/>
  <c r="X274" i="1"/>
  <c r="X263" i="1" s="1"/>
  <c r="Q274" i="1"/>
  <c r="P274" i="1" s="1"/>
  <c r="N274" i="1" s="1"/>
  <c r="AQ273" i="1"/>
  <c r="AL273" i="1"/>
  <c r="AK273" i="1"/>
  <c r="AJ273" i="1"/>
  <c r="AJ262" i="1" s="1"/>
  <c r="AG273" i="1"/>
  <c r="AB273" i="1"/>
  <c r="Z273" i="1"/>
  <c r="Y273" i="1"/>
  <c r="X273" i="1"/>
  <c r="AA273" i="1" s="1"/>
  <c r="P273" i="1"/>
  <c r="O273" i="1"/>
  <c r="N273" i="1"/>
  <c r="AL272" i="1"/>
  <c r="AI272" i="1"/>
  <c r="AA272" i="1"/>
  <c r="X272" i="1"/>
  <c r="W272" i="1"/>
  <c r="Z272" i="1" s="1"/>
  <c r="Q272" i="1"/>
  <c r="AM271" i="1"/>
  <c r="AL271" i="1"/>
  <c r="AJ271" i="1"/>
  <c r="AJ272" i="1" s="1"/>
  <c r="AF271" i="1"/>
  <c r="AA271" i="1"/>
  <c r="Z271" i="1"/>
  <c r="X271" i="1"/>
  <c r="Q271" i="1"/>
  <c r="P271" i="1"/>
  <c r="N271" i="1" s="1"/>
  <c r="O271" i="1"/>
  <c r="AQ270" i="1"/>
  <c r="AQ262" i="1" s="1"/>
  <c r="AL270" i="1"/>
  <c r="AK270" i="1"/>
  <c r="AJ270" i="1"/>
  <c r="AG270" i="1"/>
  <c r="Y270" i="1"/>
  <c r="W270" i="1"/>
  <c r="P270" i="1"/>
  <c r="O270" i="1"/>
  <c r="N270" i="1"/>
  <c r="AL269" i="1"/>
  <c r="AJ269" i="1"/>
  <c r="AI269" i="1"/>
  <c r="W269" i="1"/>
  <c r="AL268" i="1"/>
  <c r="AJ268" i="1"/>
  <c r="AF268" i="1"/>
  <c r="AA268" i="1"/>
  <c r="Z268" i="1"/>
  <c r="X268" i="1"/>
  <c r="Q268" i="1"/>
  <c r="AQ267" i="1"/>
  <c r="AL267" i="1"/>
  <c r="AK267" i="1"/>
  <c r="AJ267" i="1"/>
  <c r="AG267" i="1"/>
  <c r="AB267" i="1"/>
  <c r="Z267" i="1"/>
  <c r="Y267" i="1"/>
  <c r="X267" i="1"/>
  <c r="AA267" i="1" s="1"/>
  <c r="P267" i="1"/>
  <c r="O267" i="1"/>
  <c r="N267" i="1"/>
  <c r="AF266" i="1"/>
  <c r="AD266" i="1"/>
  <c r="AC266" i="1"/>
  <c r="AL266" i="1" s="1"/>
  <c r="Z266" i="1"/>
  <c r="X266" i="1"/>
  <c r="AA266" i="1" s="1"/>
  <c r="W266" i="1"/>
  <c r="I266" i="1"/>
  <c r="E266" i="1"/>
  <c r="AG265" i="1"/>
  <c r="AF265" i="1"/>
  <c r="AP265" i="1" s="1"/>
  <c r="AD265" i="1"/>
  <c r="AA265" i="1"/>
  <c r="Z265" i="1"/>
  <c r="X265" i="1"/>
  <c r="W265" i="1"/>
  <c r="Q265" i="1"/>
  <c r="P265" i="1"/>
  <c r="N265" i="1" s="1"/>
  <c r="J265" i="1"/>
  <c r="F265" i="1"/>
  <c r="F266" i="1" s="1"/>
  <c r="E265" i="1"/>
  <c r="AQ264" i="1"/>
  <c r="AL264" i="1"/>
  <c r="AK264" i="1"/>
  <c r="AJ264" i="1"/>
  <c r="AG264" i="1"/>
  <c r="AD264" i="1"/>
  <c r="AD262" i="1" s="1"/>
  <c r="AB264" i="1"/>
  <c r="Z264" i="1"/>
  <c r="Y264" i="1"/>
  <c r="X264" i="1"/>
  <c r="AA264" i="1" s="1"/>
  <c r="Q264" i="1"/>
  <c r="O264" i="1"/>
  <c r="J264" i="1"/>
  <c r="F264" i="1"/>
  <c r="BK263" i="1"/>
  <c r="BJ263" i="1"/>
  <c r="BI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O263" i="1"/>
  <c r="AN263" i="1"/>
  <c r="AD263" i="1"/>
  <c r="AC263" i="1"/>
  <c r="W263" i="1"/>
  <c r="U263" i="1"/>
  <c r="T263" i="1"/>
  <c r="Q263" i="1"/>
  <c r="I263" i="1"/>
  <c r="E263" i="1"/>
  <c r="BK262" i="1"/>
  <c r="BJ262" i="1"/>
  <c r="BI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P262" i="1"/>
  <c r="AO262" i="1"/>
  <c r="AN262" i="1"/>
  <c r="AM262" i="1"/>
  <c r="AI262" i="1"/>
  <c r="AH262" i="1"/>
  <c r="AF262" i="1"/>
  <c r="AE262" i="1"/>
  <c r="AC262" i="1"/>
  <c r="AL262" i="1" s="1"/>
  <c r="V262" i="1"/>
  <c r="U262" i="1"/>
  <c r="T262" i="1"/>
  <c r="S262" i="1"/>
  <c r="J262" i="1"/>
  <c r="I262" i="1"/>
  <c r="H262" i="1"/>
  <c r="F262" i="1"/>
  <c r="E262" i="1"/>
  <c r="AP261" i="1"/>
  <c r="AQ261" i="1" s="1"/>
  <c r="AM261" i="1"/>
  <c r="AL261" i="1"/>
  <c r="AJ261" i="1"/>
  <c r="AI261" i="1"/>
  <c r="Z261" i="1"/>
  <c r="X261" i="1"/>
  <c r="AA261" i="1" s="1"/>
  <c r="W261" i="1"/>
  <c r="AP260" i="1"/>
  <c r="AQ260" i="1" s="1"/>
  <c r="AM260" i="1"/>
  <c r="AL260" i="1"/>
  <c r="AJ260" i="1"/>
  <c r="AG260" i="1"/>
  <c r="AF260" i="1"/>
  <c r="AF261" i="1" s="1"/>
  <c r="AG261" i="1" s="1"/>
  <c r="Z260" i="1"/>
  <c r="X260" i="1"/>
  <c r="AA260" i="1" s="1"/>
  <c r="Q260" i="1"/>
  <c r="P260" i="1" s="1"/>
  <c r="N260" i="1" s="1"/>
  <c r="O260" i="1"/>
  <c r="AQ259" i="1"/>
  <c r="AL259" i="1"/>
  <c r="AK259" i="1"/>
  <c r="AJ259" i="1"/>
  <c r="AG259" i="1"/>
  <c r="AB259" i="1"/>
  <c r="AA259" i="1"/>
  <c r="Z259" i="1"/>
  <c r="Y259" i="1"/>
  <c r="X259" i="1"/>
  <c r="P259" i="1"/>
  <c r="O259" i="1"/>
  <c r="N259" i="1"/>
  <c r="AL258" i="1"/>
  <c r="AI258" i="1"/>
  <c r="Z258" i="1"/>
  <c r="X258" i="1"/>
  <c r="AA258" i="1" s="1"/>
  <c r="W258" i="1"/>
  <c r="AL257" i="1"/>
  <c r="AJ257" i="1"/>
  <c r="AJ258" i="1" s="1"/>
  <c r="AF257" i="1"/>
  <c r="AG257" i="1" s="1"/>
  <c r="AA257" i="1"/>
  <c r="Z257" i="1"/>
  <c r="X257" i="1"/>
  <c r="Q257" i="1"/>
  <c r="AQ256" i="1"/>
  <c r="AL256" i="1"/>
  <c r="AK256" i="1"/>
  <c r="AJ256" i="1"/>
  <c r="AG256" i="1"/>
  <c r="Z256" i="1"/>
  <c r="Y256" i="1"/>
  <c r="AB256" i="1" s="1"/>
  <c r="X256" i="1"/>
  <c r="AA256" i="1" s="1"/>
  <c r="P256" i="1"/>
  <c r="O256" i="1"/>
  <c r="N256" i="1"/>
  <c r="AL255" i="1"/>
  <c r="AI255" i="1"/>
  <c r="W255" i="1"/>
  <c r="Q255" i="1"/>
  <c r="P255" i="1" s="1"/>
  <c r="O255" i="1"/>
  <c r="N255" i="1"/>
  <c r="AL254" i="1"/>
  <c r="AJ254" i="1"/>
  <c r="AJ255" i="1" s="1"/>
  <c r="AF254" i="1"/>
  <c r="AF255" i="1" s="1"/>
  <c r="AA254" i="1"/>
  <c r="Z254" i="1"/>
  <c r="X254" i="1"/>
  <c r="Q254" i="1"/>
  <c r="P254" i="1"/>
  <c r="N254" i="1" s="1"/>
  <c r="O254" i="1"/>
  <c r="AQ253" i="1"/>
  <c r="AL253" i="1"/>
  <c r="AK253" i="1"/>
  <c r="AJ253" i="1"/>
  <c r="AG253" i="1"/>
  <c r="AA253" i="1"/>
  <c r="Z253" i="1"/>
  <c r="Y253" i="1"/>
  <c r="X253" i="1"/>
  <c r="P253" i="1"/>
  <c r="N253" i="1" s="1"/>
  <c r="O253" i="1"/>
  <c r="AP252" i="1"/>
  <c r="AQ252" i="1" s="1"/>
  <c r="AL252" i="1"/>
  <c r="AJ252" i="1"/>
  <c r="AI252" i="1"/>
  <c r="AA252" i="1"/>
  <c r="W252" i="1"/>
  <c r="X252" i="1" s="1"/>
  <c r="AP251" i="1"/>
  <c r="AQ251" i="1" s="1"/>
  <c r="AM251" i="1"/>
  <c r="AL251" i="1"/>
  <c r="AJ251" i="1"/>
  <c r="AG251" i="1"/>
  <c r="AF251" i="1"/>
  <c r="AF252" i="1" s="1"/>
  <c r="Z251" i="1"/>
  <c r="X251" i="1"/>
  <c r="AA251" i="1" s="1"/>
  <c r="P251" i="1"/>
  <c r="N251" i="1" s="1"/>
  <c r="O251" i="1"/>
  <c r="AQ250" i="1"/>
  <c r="AL250" i="1"/>
  <c r="AK250" i="1"/>
  <c r="AJ250" i="1"/>
  <c r="AG250" i="1"/>
  <c r="AB250" i="1"/>
  <c r="Y250" i="1"/>
  <c r="W250" i="1"/>
  <c r="S250" i="1"/>
  <c r="S245" i="1" s="1"/>
  <c r="Q250" i="1"/>
  <c r="Q251" i="1" s="1"/>
  <c r="Q252" i="1" s="1"/>
  <c r="P250" i="1"/>
  <c r="N250" i="1" s="1"/>
  <c r="O250" i="1"/>
  <c r="AC249" i="1"/>
  <c r="J249" i="1"/>
  <c r="I249" i="1"/>
  <c r="E249" i="1"/>
  <c r="AF248" i="1"/>
  <c r="AD248" i="1"/>
  <c r="W248" i="1"/>
  <c r="Q248" i="1"/>
  <c r="O248" i="1"/>
  <c r="J248" i="1"/>
  <c r="E248" i="1"/>
  <c r="F248" i="1" s="1"/>
  <c r="F249" i="1" s="1"/>
  <c r="AQ247" i="1"/>
  <c r="AL247" i="1"/>
  <c r="AK247" i="1"/>
  <c r="AK245" i="1" s="1"/>
  <c r="AJ247" i="1"/>
  <c r="AG247" i="1"/>
  <c r="AG245" i="1" s="1"/>
  <c r="AD247" i="1"/>
  <c r="Z247" i="1"/>
  <c r="Y247" i="1"/>
  <c r="AB247" i="1" s="1"/>
  <c r="X247" i="1"/>
  <c r="AA247" i="1" s="1"/>
  <c r="Q247" i="1"/>
  <c r="O247" i="1" s="1"/>
  <c r="P247" i="1"/>
  <c r="N247" i="1" s="1"/>
  <c r="N245" i="1" s="1"/>
  <c r="J247" i="1"/>
  <c r="F247" i="1"/>
  <c r="F245" i="1" s="1"/>
  <c r="BK246" i="1"/>
  <c r="BJ246" i="1"/>
  <c r="BI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O246" i="1"/>
  <c r="AN246" i="1"/>
  <c r="AC246" i="1"/>
  <c r="U246" i="1"/>
  <c r="T246" i="1"/>
  <c r="J246" i="1"/>
  <c r="I246" i="1"/>
  <c r="F246" i="1"/>
  <c r="E246" i="1"/>
  <c r="BK245" i="1"/>
  <c r="BJ245" i="1"/>
  <c r="BI245" i="1"/>
  <c r="BF245" i="1"/>
  <c r="BF135" i="1" s="1"/>
  <c r="BE245" i="1"/>
  <c r="BD245" i="1"/>
  <c r="BC245" i="1"/>
  <c r="BB245" i="1"/>
  <c r="BA245" i="1"/>
  <c r="AZ245" i="1"/>
  <c r="AY245" i="1"/>
  <c r="AX245" i="1"/>
  <c r="AX135" i="1" s="1"/>
  <c r="AW245" i="1"/>
  <c r="AV245" i="1"/>
  <c r="AU245" i="1"/>
  <c r="AT245" i="1"/>
  <c r="AS245" i="1"/>
  <c r="AR245" i="1"/>
  <c r="AP245" i="1"/>
  <c r="AO245" i="1"/>
  <c r="AN245" i="1"/>
  <c r="AM245" i="1"/>
  <c r="AL245" i="1"/>
  <c r="AI245" i="1"/>
  <c r="AH245" i="1"/>
  <c r="AF245" i="1"/>
  <c r="AE245" i="1"/>
  <c r="AD245" i="1"/>
  <c r="AC245" i="1"/>
  <c r="V245" i="1"/>
  <c r="U245" i="1"/>
  <c r="T245" i="1"/>
  <c r="Q245" i="1"/>
  <c r="O245" i="1"/>
  <c r="J245" i="1"/>
  <c r="I245" i="1"/>
  <c r="H245" i="1"/>
  <c r="E245" i="1"/>
  <c r="E135" i="1" s="1"/>
  <c r="AN244" i="1"/>
  <c r="AL244" i="1"/>
  <c r="AF244" i="1"/>
  <c r="AG244" i="1" s="1"/>
  <c r="Z244" i="1"/>
  <c r="X244" i="1"/>
  <c r="AA244" i="1" s="1"/>
  <c r="W244" i="1"/>
  <c r="AQ243" i="1"/>
  <c r="AP243" i="1"/>
  <c r="AN243" i="1"/>
  <c r="AN235" i="1" s="1"/>
  <c r="AL243" i="1"/>
  <c r="AI243" i="1"/>
  <c r="AJ243" i="1" s="1"/>
  <c r="AJ244" i="1" s="1"/>
  <c r="AG243" i="1"/>
  <c r="AA243" i="1"/>
  <c r="Z243" i="1"/>
  <c r="X243" i="1"/>
  <c r="Q243" i="1"/>
  <c r="P243" i="1"/>
  <c r="N243" i="1" s="1"/>
  <c r="AQ242" i="1"/>
  <c r="AL242" i="1"/>
  <c r="AK242" i="1"/>
  <c r="AK234" i="1" s="1"/>
  <c r="AJ242" i="1"/>
  <c r="AI242" i="1"/>
  <c r="AG242" i="1"/>
  <c r="AB242" i="1"/>
  <c r="Z242" i="1"/>
  <c r="X242" i="1"/>
  <c r="AA242" i="1" s="1"/>
  <c r="P242" i="1"/>
  <c r="N242" i="1" s="1"/>
  <c r="O242" i="1"/>
  <c r="AF241" i="1"/>
  <c r="AD241" i="1"/>
  <c r="AC241" i="1"/>
  <c r="AL241" i="1" s="1"/>
  <c r="X241" i="1"/>
  <c r="AA241" i="1" s="1"/>
  <c r="W241" i="1"/>
  <c r="Z241" i="1" s="1"/>
  <c r="AM240" i="1"/>
  <c r="AL240" i="1"/>
  <c r="AJ240" i="1"/>
  <c r="AJ241" i="1" s="1"/>
  <c r="AI240" i="1"/>
  <c r="AI241" i="1" s="1"/>
  <c r="AG240" i="1"/>
  <c r="AF240" i="1"/>
  <c r="AP240" i="1" s="1"/>
  <c r="AQ240" i="1" s="1"/>
  <c r="AD240" i="1"/>
  <c r="Z240" i="1"/>
  <c r="X240" i="1"/>
  <c r="AA240" i="1" s="1"/>
  <c r="Q240" i="1"/>
  <c r="O240" i="1" s="1"/>
  <c r="P240" i="1"/>
  <c r="N240" i="1" s="1"/>
  <c r="AQ239" i="1"/>
  <c r="AL239" i="1"/>
  <c r="AK239" i="1"/>
  <c r="AI239" i="1"/>
  <c r="AJ239" i="1" s="1"/>
  <c r="AG239" i="1"/>
  <c r="AB239" i="1"/>
  <c r="Z239" i="1"/>
  <c r="X239" i="1"/>
  <c r="AA239" i="1" s="1"/>
  <c r="P239" i="1"/>
  <c r="O239" i="1"/>
  <c r="N239" i="1"/>
  <c r="AQ238" i="1"/>
  <c r="AP238" i="1"/>
  <c r="AI238" i="1"/>
  <c r="AG238" i="1"/>
  <c r="AF238" i="1"/>
  <c r="AM238" i="1" s="1"/>
  <c r="AD238" i="1"/>
  <c r="AC238" i="1"/>
  <c r="AL238" i="1" s="1"/>
  <c r="I238" i="1"/>
  <c r="E238" i="1"/>
  <c r="AP237" i="1"/>
  <c r="AQ237" i="1" s="1"/>
  <c r="AQ235" i="1" s="1"/>
  <c r="AM237" i="1"/>
  <c r="AM235" i="1" s="1"/>
  <c r="AL237" i="1"/>
  <c r="AI237" i="1"/>
  <c r="AJ237" i="1" s="1"/>
  <c r="AJ238" i="1" s="1"/>
  <c r="AG237" i="1"/>
  <c r="AD237" i="1"/>
  <c r="W237" i="1"/>
  <c r="Z237" i="1" s="1"/>
  <c r="Z235" i="1" s="1"/>
  <c r="J237" i="1"/>
  <c r="F237" i="1"/>
  <c r="F238" i="1" s="1"/>
  <c r="E237" i="1"/>
  <c r="AQ236" i="1"/>
  <c r="AQ234" i="1" s="1"/>
  <c r="AL236" i="1"/>
  <c r="AK236" i="1"/>
  <c r="AI236" i="1"/>
  <c r="AG236" i="1"/>
  <c r="AD236" i="1"/>
  <c r="AD234" i="1" s="1"/>
  <c r="AB236" i="1"/>
  <c r="Y236" i="1"/>
  <c r="W236" i="1"/>
  <c r="S236" i="1"/>
  <c r="S234" i="1" s="1"/>
  <c r="Q236" i="1"/>
  <c r="P236" i="1" s="1"/>
  <c r="O236" i="1"/>
  <c r="J236" i="1"/>
  <c r="F236" i="1"/>
  <c r="BK235" i="1"/>
  <c r="BJ235" i="1"/>
  <c r="BI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P235" i="1"/>
  <c r="AO235" i="1"/>
  <c r="AI235" i="1"/>
  <c r="AG235" i="1"/>
  <c r="AF235" i="1"/>
  <c r="AD235" i="1"/>
  <c r="AC235" i="1"/>
  <c r="AL235" i="1" s="1"/>
  <c r="U235" i="1"/>
  <c r="T235" i="1"/>
  <c r="I235" i="1"/>
  <c r="F235" i="1"/>
  <c r="E235" i="1"/>
  <c r="BK234" i="1"/>
  <c r="BJ234" i="1"/>
  <c r="BI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P234" i="1"/>
  <c r="AO234" i="1"/>
  <c r="AN234" i="1"/>
  <c r="AM234" i="1"/>
  <c r="AL234" i="1"/>
  <c r="AH234" i="1"/>
  <c r="AG234" i="1"/>
  <c r="AF234" i="1"/>
  <c r="AE234" i="1"/>
  <c r="AC234" i="1"/>
  <c r="Y234" i="1"/>
  <c r="W234" i="1"/>
  <c r="V234" i="1"/>
  <c r="U234" i="1"/>
  <c r="T234" i="1"/>
  <c r="J234" i="1"/>
  <c r="I234" i="1"/>
  <c r="H234" i="1"/>
  <c r="F234" i="1"/>
  <c r="E234" i="1"/>
  <c r="AQ233" i="1"/>
  <c r="AP233" i="1"/>
  <c r="AM233" i="1"/>
  <c r="AL233" i="1"/>
  <c r="AJ233" i="1"/>
  <c r="AI233" i="1"/>
  <c r="AG233" i="1"/>
  <c r="AF233" i="1"/>
  <c r="AC233" i="1"/>
  <c r="Z233" i="1"/>
  <c r="X233" i="1"/>
  <c r="AA233" i="1" s="1"/>
  <c r="O233" i="1"/>
  <c r="AP232" i="1"/>
  <c r="AQ232" i="1" s="1"/>
  <c r="AM232" i="1"/>
  <c r="AL232" i="1"/>
  <c r="AJ232" i="1"/>
  <c r="AG232" i="1"/>
  <c r="AD232" i="1"/>
  <c r="AD233" i="1" s="1"/>
  <c r="AA232" i="1"/>
  <c r="X232" i="1"/>
  <c r="W232" i="1"/>
  <c r="W233" i="1" s="1"/>
  <c r="Q232" i="1"/>
  <c r="Q233" i="1" s="1"/>
  <c r="P233" i="1" s="1"/>
  <c r="N233" i="1" s="1"/>
  <c r="AQ231" i="1"/>
  <c r="AL231" i="1"/>
  <c r="AK231" i="1"/>
  <c r="AJ231" i="1"/>
  <c r="AG231" i="1"/>
  <c r="Y231" i="1"/>
  <c r="AB231" i="1" s="1"/>
  <c r="X231" i="1"/>
  <c r="AA231" i="1" s="1"/>
  <c r="W231" i="1"/>
  <c r="Z231" i="1" s="1"/>
  <c r="P231" i="1"/>
  <c r="N231" i="1" s="1"/>
  <c r="O231" i="1"/>
  <c r="AP230" i="1"/>
  <c r="AQ230" i="1" s="1"/>
  <c r="AM230" i="1"/>
  <c r="AJ230" i="1"/>
  <c r="AI230" i="1"/>
  <c r="AG230" i="1"/>
  <c r="AF230" i="1"/>
  <c r="AC230" i="1"/>
  <c r="AL230" i="1" s="1"/>
  <c r="W230" i="1"/>
  <c r="Z230" i="1" s="1"/>
  <c r="Q230" i="1"/>
  <c r="AQ229" i="1"/>
  <c r="AP229" i="1"/>
  <c r="AM229" i="1"/>
  <c r="AL229" i="1"/>
  <c r="AJ229" i="1"/>
  <c r="AG229" i="1"/>
  <c r="AD229" i="1"/>
  <c r="AD230" i="1" s="1"/>
  <c r="AA229" i="1"/>
  <c r="Z229" i="1"/>
  <c r="X229" i="1"/>
  <c r="W229" i="1"/>
  <c r="Q229" i="1"/>
  <c r="P229" i="1" s="1"/>
  <c r="N229" i="1" s="1"/>
  <c r="O229" i="1"/>
  <c r="AQ228" i="1"/>
  <c r="AL228" i="1"/>
  <c r="AK228" i="1"/>
  <c r="AJ228" i="1"/>
  <c r="AG228" i="1"/>
  <c r="Z228" i="1"/>
  <c r="Y228" i="1"/>
  <c r="AB228" i="1" s="1"/>
  <c r="X228" i="1"/>
  <c r="AA228" i="1" s="1"/>
  <c r="W228" i="1"/>
  <c r="P228" i="1"/>
  <c r="O228" i="1"/>
  <c r="N228" i="1"/>
  <c r="AP227" i="1"/>
  <c r="AQ227" i="1" s="1"/>
  <c r="AM227" i="1"/>
  <c r="AL227" i="1"/>
  <c r="AI227" i="1"/>
  <c r="AG227" i="1"/>
  <c r="AF227" i="1"/>
  <c r="AC227" i="1"/>
  <c r="I227" i="1"/>
  <c r="AQ226" i="1"/>
  <c r="AQ224" i="1" s="1"/>
  <c r="AP226" i="1"/>
  <c r="AM226" i="1"/>
  <c r="AL226" i="1"/>
  <c r="AJ226" i="1"/>
  <c r="AJ227" i="1" s="1"/>
  <c r="AG226" i="1"/>
  <c r="AG224" i="1" s="1"/>
  <c r="AD226" i="1"/>
  <c r="AD224" i="1" s="1"/>
  <c r="W226" i="1"/>
  <c r="W227" i="1" s="1"/>
  <c r="Q226" i="1"/>
  <c r="Q227" i="1" s="1"/>
  <c r="O226" i="1"/>
  <c r="I226" i="1"/>
  <c r="J226" i="1" s="1"/>
  <c r="J227" i="1" s="1"/>
  <c r="AQ225" i="1"/>
  <c r="AL225" i="1"/>
  <c r="AK225" i="1"/>
  <c r="AK223" i="1" s="1"/>
  <c r="AJ225" i="1"/>
  <c r="AG225" i="1"/>
  <c r="AD225" i="1"/>
  <c r="Z225" i="1"/>
  <c r="Z223" i="1" s="1"/>
  <c r="Y225" i="1"/>
  <c r="AB225" i="1" s="1"/>
  <c r="AB223" i="1" s="1"/>
  <c r="X225" i="1"/>
  <c r="W225" i="1"/>
  <c r="W223" i="1" s="1"/>
  <c r="P225" i="1"/>
  <c r="O225" i="1"/>
  <c r="N225" i="1"/>
  <c r="N223" i="1" s="1"/>
  <c r="J225" i="1"/>
  <c r="F225" i="1"/>
  <c r="E225" i="1"/>
  <c r="E226" i="1" s="1"/>
  <c r="BK224" i="1"/>
  <c r="BJ224" i="1"/>
  <c r="BI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P224" i="1"/>
  <c r="AO224" i="1"/>
  <c r="AN224" i="1"/>
  <c r="AM224" i="1"/>
  <c r="AL224" i="1"/>
  <c r="AJ224" i="1"/>
  <c r="AI224" i="1"/>
  <c r="AF224" i="1"/>
  <c r="AC224" i="1"/>
  <c r="W224" i="1"/>
  <c r="U224" i="1"/>
  <c r="T224" i="1"/>
  <c r="J224" i="1"/>
  <c r="I224" i="1"/>
  <c r="BK223" i="1"/>
  <c r="BJ223" i="1"/>
  <c r="BI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J223" i="1"/>
  <c r="AI223" i="1"/>
  <c r="AH223" i="1"/>
  <c r="AG223" i="1"/>
  <c r="AF223" i="1"/>
  <c r="AE223" i="1"/>
  <c r="AD223" i="1"/>
  <c r="AC223" i="1"/>
  <c r="Y223" i="1"/>
  <c r="V223" i="1"/>
  <c r="U223" i="1"/>
  <c r="T223" i="1"/>
  <c r="S223" i="1"/>
  <c r="Q223" i="1"/>
  <c r="P223" i="1"/>
  <c r="O223" i="1"/>
  <c r="J223" i="1"/>
  <c r="I223" i="1"/>
  <c r="H223" i="1"/>
  <c r="F223" i="1"/>
  <c r="E223" i="1"/>
  <c r="AQ222" i="1"/>
  <c r="AL222" i="1"/>
  <c r="AG222" i="1"/>
  <c r="AF222" i="1"/>
  <c r="AP222" i="1" s="1"/>
  <c r="Z222" i="1"/>
  <c r="W222" i="1"/>
  <c r="X222" i="1" s="1"/>
  <c r="AA222" i="1" s="1"/>
  <c r="Q222" i="1"/>
  <c r="P222" i="1"/>
  <c r="O222" i="1"/>
  <c r="N222" i="1"/>
  <c r="AQ221" i="1"/>
  <c r="AP221" i="1"/>
  <c r="AN221" i="1"/>
  <c r="AL221" i="1"/>
  <c r="AI221" i="1"/>
  <c r="AJ221" i="1" s="1"/>
  <c r="AJ222" i="1" s="1"/>
  <c r="AG221" i="1"/>
  <c r="AA221" i="1"/>
  <c r="Z221" i="1"/>
  <c r="X221" i="1"/>
  <c r="Q221" i="1"/>
  <c r="P221" i="1"/>
  <c r="O221" i="1"/>
  <c r="N221" i="1"/>
  <c r="AQ220" i="1"/>
  <c r="AL220" i="1"/>
  <c r="AK220" i="1"/>
  <c r="AJ220" i="1"/>
  <c r="AI220" i="1"/>
  <c r="AG220" i="1"/>
  <c r="AB220" i="1"/>
  <c r="Z220" i="1"/>
  <c r="X220" i="1"/>
  <c r="AA220" i="1" s="1"/>
  <c r="P220" i="1"/>
  <c r="N220" i="1" s="1"/>
  <c r="O220" i="1"/>
  <c r="AQ219" i="1"/>
  <c r="AP219" i="1"/>
  <c r="AN219" i="1"/>
  <c r="AL219" i="1"/>
  <c r="AI219" i="1"/>
  <c r="AG219" i="1"/>
  <c r="AF219" i="1"/>
  <c r="W219" i="1"/>
  <c r="Z219" i="1" s="1"/>
  <c r="Q219" i="1"/>
  <c r="O219" i="1" s="1"/>
  <c r="P219" i="1"/>
  <c r="N219" i="1" s="1"/>
  <c r="AQ218" i="1"/>
  <c r="AP218" i="1"/>
  <c r="AN218" i="1"/>
  <c r="AL218" i="1"/>
  <c r="AI218" i="1"/>
  <c r="AJ218" i="1" s="1"/>
  <c r="AJ219" i="1" s="1"/>
  <c r="AG218" i="1"/>
  <c r="Z218" i="1"/>
  <c r="X218" i="1"/>
  <c r="AA218" i="1" s="1"/>
  <c r="Q218" i="1"/>
  <c r="P218" i="1"/>
  <c r="O218" i="1"/>
  <c r="N218" i="1"/>
  <c r="AQ217" i="1"/>
  <c r="AL217" i="1"/>
  <c r="AK217" i="1"/>
  <c r="AI217" i="1"/>
  <c r="AJ217" i="1" s="1"/>
  <c r="AG217" i="1"/>
  <c r="AB217" i="1"/>
  <c r="AA217" i="1"/>
  <c r="Z217" i="1"/>
  <c r="X217" i="1"/>
  <c r="P217" i="1"/>
  <c r="O217" i="1"/>
  <c r="N217" i="1"/>
  <c r="AQ216" i="1"/>
  <c r="AP216" i="1"/>
  <c r="AM216" i="1"/>
  <c r="AI216" i="1"/>
  <c r="AF216" i="1"/>
  <c r="AG216" i="1" s="1"/>
  <c r="AC216" i="1"/>
  <c r="AL216" i="1" s="1"/>
  <c r="AA216" i="1"/>
  <c r="Z216" i="1"/>
  <c r="W216" i="1"/>
  <c r="X216" i="1" s="1"/>
  <c r="AQ215" i="1"/>
  <c r="AQ204" i="1" s="1"/>
  <c r="AP215" i="1"/>
  <c r="AM215" i="1"/>
  <c r="AL215" i="1"/>
  <c r="AJ215" i="1"/>
  <c r="AJ216" i="1" s="1"/>
  <c r="AG215" i="1"/>
  <c r="AD215" i="1"/>
  <c r="AD216" i="1" s="1"/>
  <c r="AA215" i="1"/>
  <c r="Z215" i="1"/>
  <c r="X215" i="1"/>
  <c r="W215" i="1"/>
  <c r="Q215" i="1"/>
  <c r="Q216" i="1" s="1"/>
  <c r="O215" i="1"/>
  <c r="AQ214" i="1"/>
  <c r="AL214" i="1"/>
  <c r="AK214" i="1"/>
  <c r="AJ214" i="1"/>
  <c r="AG214" i="1"/>
  <c r="Z214" i="1"/>
  <c r="Y214" i="1"/>
  <c r="AB214" i="1" s="1"/>
  <c r="X214" i="1"/>
  <c r="AA214" i="1" s="1"/>
  <c r="W214" i="1"/>
  <c r="P214" i="1"/>
  <c r="O214" i="1"/>
  <c r="N214" i="1"/>
  <c r="AP213" i="1"/>
  <c r="AQ213" i="1" s="1"/>
  <c r="AC213" i="1"/>
  <c r="J213" i="1"/>
  <c r="F213" i="1"/>
  <c r="AQ212" i="1"/>
  <c r="AP212" i="1"/>
  <c r="AF212" i="1"/>
  <c r="AD212" i="1"/>
  <c r="AD213" i="1" s="1"/>
  <c r="W212" i="1"/>
  <c r="W213" i="1" s="1"/>
  <c r="Z213" i="1" s="1"/>
  <c r="Q212" i="1"/>
  <c r="Q213" i="1" s="1"/>
  <c r="O212" i="1"/>
  <c r="J212" i="1"/>
  <c r="F212" i="1"/>
  <c r="AP211" i="1"/>
  <c r="AQ211" i="1" s="1"/>
  <c r="AL211" i="1"/>
  <c r="AK211" i="1"/>
  <c r="AJ211" i="1"/>
  <c r="AG211" i="1"/>
  <c r="Y211" i="1"/>
  <c r="AB211" i="1" s="1"/>
  <c r="W211" i="1"/>
  <c r="P211" i="1"/>
  <c r="N211" i="1" s="1"/>
  <c r="O211" i="1"/>
  <c r="F211" i="1"/>
  <c r="AP210" i="1"/>
  <c r="AQ210" i="1" s="1"/>
  <c r="AM210" i="1"/>
  <c r="AL210" i="1"/>
  <c r="AJ210" i="1"/>
  <c r="AI210" i="1"/>
  <c r="AF210" i="1"/>
  <c r="AD210" i="1"/>
  <c r="AC210" i="1"/>
  <c r="Q210" i="1"/>
  <c r="P210" i="1" s="1"/>
  <c r="N210" i="1" s="1"/>
  <c r="O210" i="1"/>
  <c r="AQ209" i="1"/>
  <c r="AM209" i="1"/>
  <c r="AL209" i="1"/>
  <c r="AJ209" i="1"/>
  <c r="AG209" i="1"/>
  <c r="AG210" i="1" s="1"/>
  <c r="AD209" i="1"/>
  <c r="W209" i="1"/>
  <c r="Q209" i="1"/>
  <c r="P209" i="1" s="1"/>
  <c r="AQ208" i="1"/>
  <c r="AL208" i="1"/>
  <c r="AK208" i="1"/>
  <c r="AJ208" i="1"/>
  <c r="AG208" i="1"/>
  <c r="Y208" i="1"/>
  <c r="AB208" i="1" s="1"/>
  <c r="W208" i="1"/>
  <c r="W203" i="1" s="1"/>
  <c r="S208" i="1"/>
  <c r="AR208" i="1" s="1"/>
  <c r="Q208" i="1"/>
  <c r="P208" i="1"/>
  <c r="O208" i="1"/>
  <c r="N208" i="1"/>
  <c r="AQ207" i="1"/>
  <c r="AP207" i="1"/>
  <c r="AM207" i="1"/>
  <c r="AJ207" i="1"/>
  <c r="AI207" i="1"/>
  <c r="AG207" i="1"/>
  <c r="AF207" i="1"/>
  <c r="AC207" i="1"/>
  <c r="Z207" i="1"/>
  <c r="I207" i="1"/>
  <c r="AQ206" i="1"/>
  <c r="AM206" i="1"/>
  <c r="AJ206" i="1"/>
  <c r="AG206" i="1"/>
  <c r="AD206" i="1"/>
  <c r="AD204" i="1" s="1"/>
  <c r="Z206" i="1"/>
  <c r="W206" i="1"/>
  <c r="W207" i="1" s="1"/>
  <c r="X207" i="1" s="1"/>
  <c r="AA207" i="1" s="1"/>
  <c r="Q206" i="1"/>
  <c r="Q204" i="1" s="1"/>
  <c r="P206" i="1"/>
  <c r="O206" i="1"/>
  <c r="N206" i="1"/>
  <c r="J206" i="1"/>
  <c r="I206" i="1"/>
  <c r="AR205" i="1"/>
  <c r="AR211" i="1" s="1"/>
  <c r="AQ205" i="1"/>
  <c r="AK205" i="1"/>
  <c r="AK203" i="1" s="1"/>
  <c r="AJ205" i="1"/>
  <c r="AG205" i="1"/>
  <c r="AG203" i="1" s="1"/>
  <c r="AJ203" i="1" s="1"/>
  <c r="AD205" i="1"/>
  <c r="Y205" i="1"/>
  <c r="AB205" i="1" s="1"/>
  <c r="X205" i="1"/>
  <c r="AA205" i="1" s="1"/>
  <c r="W205" i="1"/>
  <c r="Z205" i="1" s="1"/>
  <c r="P205" i="1"/>
  <c r="O205" i="1"/>
  <c r="J205" i="1"/>
  <c r="E205" i="1"/>
  <c r="E207" i="1" s="1"/>
  <c r="BK204" i="1"/>
  <c r="BJ204" i="1"/>
  <c r="BI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P204" i="1"/>
  <c r="AO204" i="1"/>
  <c r="AN204" i="1"/>
  <c r="AC204" i="1"/>
  <c r="U204" i="1"/>
  <c r="T204" i="1"/>
  <c r="I204" i="1"/>
  <c r="BK203" i="1"/>
  <c r="BJ203" i="1"/>
  <c r="BI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U135" i="1" s="1"/>
  <c r="AT203" i="1"/>
  <c r="AS203" i="1"/>
  <c r="AO203" i="1"/>
  <c r="AN203" i="1"/>
  <c r="AM203" i="1"/>
  <c r="AL203" i="1"/>
  <c r="AH203" i="1"/>
  <c r="AF203" i="1"/>
  <c r="AI203" i="1" s="1"/>
  <c r="AE203" i="1"/>
  <c r="AD203" i="1"/>
  <c r="AC203" i="1"/>
  <c r="Y203" i="1"/>
  <c r="V203" i="1"/>
  <c r="U203" i="1"/>
  <c r="T203" i="1"/>
  <c r="S203" i="1"/>
  <c r="Q203" i="1"/>
  <c r="O203" i="1"/>
  <c r="J203" i="1"/>
  <c r="I203" i="1"/>
  <c r="H203" i="1"/>
  <c r="E203" i="1"/>
  <c r="AQ202" i="1"/>
  <c r="AP202" i="1"/>
  <c r="AN202" i="1"/>
  <c r="AL202" i="1"/>
  <c r="AF202" i="1"/>
  <c r="AG202" i="1" s="1"/>
  <c r="X202" i="1"/>
  <c r="AA202" i="1" s="1"/>
  <c r="W202" i="1"/>
  <c r="Z202" i="1" s="1"/>
  <c r="AQ201" i="1"/>
  <c r="AP201" i="1"/>
  <c r="AN201" i="1"/>
  <c r="AN184" i="1" s="1"/>
  <c r="AL201" i="1"/>
  <c r="AI201" i="1"/>
  <c r="AJ201" i="1" s="1"/>
  <c r="AJ202" i="1" s="1"/>
  <c r="AG201" i="1"/>
  <c r="Z201" i="1"/>
  <c r="X201" i="1"/>
  <c r="AA201" i="1" s="1"/>
  <c r="Q201" i="1"/>
  <c r="AQ200" i="1"/>
  <c r="AL200" i="1"/>
  <c r="AK200" i="1"/>
  <c r="AI200" i="1"/>
  <c r="AJ200" i="1" s="1"/>
  <c r="AG200" i="1"/>
  <c r="AB200" i="1"/>
  <c r="Z200" i="1"/>
  <c r="X200" i="1"/>
  <c r="AA200" i="1" s="1"/>
  <c r="P200" i="1"/>
  <c r="O200" i="1"/>
  <c r="N200" i="1"/>
  <c r="AL199" i="1"/>
  <c r="AI199" i="1"/>
  <c r="AF199" i="1"/>
  <c r="AC199" i="1"/>
  <c r="W199" i="1"/>
  <c r="Z199" i="1" s="1"/>
  <c r="AP198" i="1"/>
  <c r="AQ198" i="1" s="1"/>
  <c r="AM198" i="1"/>
  <c r="AL198" i="1"/>
  <c r="AJ198" i="1"/>
  <c r="AJ199" i="1" s="1"/>
  <c r="AG198" i="1"/>
  <c r="AD198" i="1"/>
  <c r="AD199" i="1" s="1"/>
  <c r="W198" i="1"/>
  <c r="Z198" i="1" s="1"/>
  <c r="Q198" i="1"/>
  <c r="Q199" i="1" s="1"/>
  <c r="O199" i="1" s="1"/>
  <c r="O198" i="1"/>
  <c r="AQ197" i="1"/>
  <c r="AL197" i="1"/>
  <c r="AK197" i="1"/>
  <c r="AJ197" i="1"/>
  <c r="AG197" i="1"/>
  <c r="AB197" i="1"/>
  <c r="AA197" i="1"/>
  <c r="Z197" i="1"/>
  <c r="Y197" i="1"/>
  <c r="W197" i="1"/>
  <c r="X197" i="1" s="1"/>
  <c r="P197" i="1"/>
  <c r="O197" i="1"/>
  <c r="N197" i="1"/>
  <c r="AQ196" i="1"/>
  <c r="AP196" i="1"/>
  <c r="AI196" i="1"/>
  <c r="AG196" i="1"/>
  <c r="AF196" i="1"/>
  <c r="AM196" i="1" s="1"/>
  <c r="AD196" i="1"/>
  <c r="AC196" i="1"/>
  <c r="AL196" i="1" s="1"/>
  <c r="W196" i="1"/>
  <c r="Z196" i="1" s="1"/>
  <c r="Q196" i="1"/>
  <c r="P196" i="1" s="1"/>
  <c r="N196" i="1" s="1"/>
  <c r="O196" i="1"/>
  <c r="AP195" i="1"/>
  <c r="AQ195" i="1" s="1"/>
  <c r="AM195" i="1"/>
  <c r="AL195" i="1"/>
  <c r="AJ195" i="1"/>
  <c r="AJ196" i="1" s="1"/>
  <c r="AG195" i="1"/>
  <c r="AD195" i="1"/>
  <c r="AD184" i="1" s="1"/>
  <c r="W195" i="1"/>
  <c r="Z195" i="1" s="1"/>
  <c r="Q195" i="1"/>
  <c r="P195" i="1"/>
  <c r="O195" i="1"/>
  <c r="N195" i="1"/>
  <c r="AQ194" i="1"/>
  <c r="AL194" i="1"/>
  <c r="AK194" i="1"/>
  <c r="AJ194" i="1"/>
  <c r="AG194" i="1"/>
  <c r="AB194" i="1"/>
  <c r="Z194" i="1"/>
  <c r="Y194" i="1"/>
  <c r="W194" i="1"/>
  <c r="X194" i="1" s="1"/>
  <c r="AA194" i="1" s="1"/>
  <c r="P194" i="1"/>
  <c r="O194" i="1"/>
  <c r="N194" i="1"/>
  <c r="AP193" i="1"/>
  <c r="AQ193" i="1" s="1"/>
  <c r="AI193" i="1"/>
  <c r="AF193" i="1"/>
  <c r="AM193" i="1" s="1"/>
  <c r="AD193" i="1"/>
  <c r="AC193" i="1"/>
  <c r="AL193" i="1" s="1"/>
  <c r="J193" i="1"/>
  <c r="I193" i="1"/>
  <c r="E193" i="1"/>
  <c r="F193" i="1" s="1"/>
  <c r="AP192" i="1"/>
  <c r="AP184" i="1" s="1"/>
  <c r="AM192" i="1"/>
  <c r="AL192" i="1"/>
  <c r="AJ192" i="1"/>
  <c r="AJ193" i="1" s="1"/>
  <c r="AF192" i="1"/>
  <c r="AG192" i="1" s="1"/>
  <c r="AG193" i="1" s="1"/>
  <c r="AD192" i="1"/>
  <c r="W192" i="1"/>
  <c r="J192" i="1"/>
  <c r="F192" i="1"/>
  <c r="E192" i="1"/>
  <c r="AR191" i="1"/>
  <c r="AR183" i="1" s="1"/>
  <c r="AQ191" i="1"/>
  <c r="AP191" i="1"/>
  <c r="AL191" i="1"/>
  <c r="AK191" i="1"/>
  <c r="AJ191" i="1"/>
  <c r="AG191" i="1"/>
  <c r="AB191" i="1"/>
  <c r="AA191" i="1"/>
  <c r="Z191" i="1"/>
  <c r="Y191" i="1"/>
  <c r="W191" i="1"/>
  <c r="X191" i="1" s="1"/>
  <c r="S191" i="1"/>
  <c r="Q191" i="1"/>
  <c r="Q192" i="1" s="1"/>
  <c r="O191" i="1"/>
  <c r="F191" i="1"/>
  <c r="AP190" i="1"/>
  <c r="AQ190" i="1" s="1"/>
  <c r="AM190" i="1"/>
  <c r="AL190" i="1"/>
  <c r="AI190" i="1"/>
  <c r="AF190" i="1"/>
  <c r="AD190" i="1"/>
  <c r="AC190" i="1"/>
  <c r="W190" i="1"/>
  <c r="Z190" i="1" s="1"/>
  <c r="Q190" i="1"/>
  <c r="P190" i="1" s="1"/>
  <c r="N190" i="1" s="1"/>
  <c r="AQ189" i="1"/>
  <c r="AM189" i="1"/>
  <c r="AL189" i="1"/>
  <c r="AJ189" i="1"/>
  <c r="AJ190" i="1" s="1"/>
  <c r="AG189" i="1"/>
  <c r="AG190" i="1" s="1"/>
  <c r="AD189" i="1"/>
  <c r="W189" i="1"/>
  <c r="Q189" i="1"/>
  <c r="P189" i="1"/>
  <c r="N189" i="1" s="1"/>
  <c r="O189" i="1"/>
  <c r="AR188" i="1"/>
  <c r="AQ188" i="1"/>
  <c r="AL188" i="1"/>
  <c r="AK188" i="1"/>
  <c r="AJ188" i="1"/>
  <c r="AG188" i="1"/>
  <c r="AB188" i="1"/>
  <c r="Y188" i="1"/>
  <c r="W188" i="1"/>
  <c r="W183" i="1" s="1"/>
  <c r="P188" i="1"/>
  <c r="O188" i="1"/>
  <c r="O183" i="1" s="1"/>
  <c r="N188" i="1"/>
  <c r="AP187" i="1"/>
  <c r="AQ187" i="1" s="1"/>
  <c r="AI187" i="1"/>
  <c r="AF187" i="1"/>
  <c r="AD187" i="1"/>
  <c r="AC187" i="1"/>
  <c r="W187" i="1"/>
  <c r="Z187" i="1" s="1"/>
  <c r="I187" i="1"/>
  <c r="E187" i="1"/>
  <c r="F187" i="1" s="1"/>
  <c r="AQ186" i="1"/>
  <c r="AM186" i="1"/>
  <c r="AM184" i="1" s="1"/>
  <c r="AJ186" i="1"/>
  <c r="AJ187" i="1" s="1"/>
  <c r="AG186" i="1"/>
  <c r="AD186" i="1"/>
  <c r="X186" i="1"/>
  <c r="AA186" i="1" s="1"/>
  <c r="W186" i="1"/>
  <c r="Z186" i="1" s="1"/>
  <c r="Q186" i="1"/>
  <c r="J186" i="1"/>
  <c r="J187" i="1" s="1"/>
  <c r="E186" i="1"/>
  <c r="E184" i="1" s="1"/>
  <c r="AR185" i="1"/>
  <c r="AQ185" i="1"/>
  <c r="AQ183" i="1" s="1"/>
  <c r="AK185" i="1"/>
  <c r="AK183" i="1" s="1"/>
  <c r="AJ185" i="1"/>
  <c r="AG185" i="1"/>
  <c r="AD185" i="1"/>
  <c r="AA185" i="1"/>
  <c r="Z185" i="1"/>
  <c r="Y185" i="1"/>
  <c r="AB185" i="1" s="1"/>
  <c r="AB183" i="1" s="1"/>
  <c r="X185" i="1"/>
  <c r="W185" i="1"/>
  <c r="P185" i="1"/>
  <c r="O185" i="1"/>
  <c r="N185" i="1"/>
  <c r="J185" i="1"/>
  <c r="J183" i="1" s="1"/>
  <c r="F185" i="1"/>
  <c r="BK184" i="1"/>
  <c r="BJ184" i="1"/>
  <c r="BI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O184" i="1"/>
  <c r="AL184" i="1"/>
  <c r="AI184" i="1"/>
  <c r="AF184" i="1"/>
  <c r="AC184" i="1"/>
  <c r="U184" i="1"/>
  <c r="T184" i="1"/>
  <c r="J184" i="1"/>
  <c r="I184" i="1"/>
  <c r="BK183" i="1"/>
  <c r="BJ183" i="1"/>
  <c r="BI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P183" i="1"/>
  <c r="AO183" i="1"/>
  <c r="AN183" i="1"/>
  <c r="AM183" i="1"/>
  <c r="AI183" i="1"/>
  <c r="AH183" i="1"/>
  <c r="AG183" i="1"/>
  <c r="AJ183" i="1" s="1"/>
  <c r="AF183" i="1"/>
  <c r="AE183" i="1"/>
  <c r="AD183" i="1"/>
  <c r="AC183" i="1"/>
  <c r="AL183" i="1" s="1"/>
  <c r="Y183" i="1"/>
  <c r="V183" i="1"/>
  <c r="U183" i="1"/>
  <c r="T183" i="1"/>
  <c r="S183" i="1"/>
  <c r="I183" i="1"/>
  <c r="H183" i="1"/>
  <c r="F183" i="1"/>
  <c r="E183" i="1"/>
  <c r="AQ182" i="1"/>
  <c r="AP182" i="1"/>
  <c r="AI182" i="1"/>
  <c r="AG182" i="1"/>
  <c r="AF182" i="1"/>
  <c r="AM182" i="1" s="1"/>
  <c r="AC182" i="1"/>
  <c r="AL182" i="1" s="1"/>
  <c r="W182" i="1"/>
  <c r="Z182" i="1" s="1"/>
  <c r="Q182" i="1"/>
  <c r="P182" i="1" s="1"/>
  <c r="N182" i="1" s="1"/>
  <c r="O182" i="1"/>
  <c r="AP181" i="1"/>
  <c r="AQ181" i="1" s="1"/>
  <c r="AM181" i="1"/>
  <c r="AL181" i="1"/>
  <c r="AJ181" i="1"/>
  <c r="AJ182" i="1" s="1"/>
  <c r="AG181" i="1"/>
  <c r="AG176" i="1" s="1"/>
  <c r="AD181" i="1"/>
  <c r="W181" i="1"/>
  <c r="Z181" i="1" s="1"/>
  <c r="Q181" i="1"/>
  <c r="P181" i="1"/>
  <c r="O181" i="1"/>
  <c r="N181" i="1"/>
  <c r="AQ180" i="1"/>
  <c r="AL180" i="1"/>
  <c r="AK180" i="1"/>
  <c r="AJ180" i="1"/>
  <c r="AG180" i="1"/>
  <c r="AG175" i="1" s="1"/>
  <c r="AB180" i="1"/>
  <c r="Z180" i="1"/>
  <c r="Y180" i="1"/>
  <c r="W180" i="1"/>
  <c r="X180" i="1" s="1"/>
  <c r="AA180" i="1" s="1"/>
  <c r="P180" i="1"/>
  <c r="O180" i="1"/>
  <c r="N180" i="1"/>
  <c r="AP179" i="1"/>
  <c r="AQ179" i="1" s="1"/>
  <c r="AI179" i="1"/>
  <c r="AF179" i="1"/>
  <c r="AM179" i="1" s="1"/>
  <c r="AD179" i="1"/>
  <c r="AC179" i="1"/>
  <c r="AL179" i="1" s="1"/>
  <c r="AP178" i="1"/>
  <c r="AQ178" i="1" s="1"/>
  <c r="AQ176" i="1" s="1"/>
  <c r="AM178" i="1"/>
  <c r="AL178" i="1"/>
  <c r="AJ178" i="1"/>
  <c r="AJ176" i="1" s="1"/>
  <c r="AG178" i="1"/>
  <c r="AD178" i="1"/>
  <c r="X178" i="1"/>
  <c r="W178" i="1"/>
  <c r="W176" i="1" s="1"/>
  <c r="Q178" i="1"/>
  <c r="I178" i="1"/>
  <c r="I179" i="1" s="1"/>
  <c r="AQ177" i="1"/>
  <c r="AL177" i="1"/>
  <c r="AK177" i="1"/>
  <c r="AJ177" i="1"/>
  <c r="AG177" i="1"/>
  <c r="AD177" i="1"/>
  <c r="AB177" i="1"/>
  <c r="AB175" i="1" s="1"/>
  <c r="Z177" i="1"/>
  <c r="Z175" i="1" s="1"/>
  <c r="Y177" i="1"/>
  <c r="Y175" i="1" s="1"/>
  <c r="W177" i="1"/>
  <c r="X177" i="1" s="1"/>
  <c r="P177" i="1"/>
  <c r="O177" i="1"/>
  <c r="N177" i="1"/>
  <c r="N175" i="1" s="1"/>
  <c r="J177" i="1"/>
  <c r="J175" i="1" s="1"/>
  <c r="F177" i="1"/>
  <c r="F175" i="1" s="1"/>
  <c r="E177" i="1"/>
  <c r="E178" i="1" s="1"/>
  <c r="BK176" i="1"/>
  <c r="BJ176" i="1"/>
  <c r="BI176" i="1"/>
  <c r="BF176" i="1"/>
  <c r="BE176" i="1"/>
  <c r="BD176" i="1"/>
  <c r="BC176" i="1"/>
  <c r="BC136" i="1" s="1"/>
  <c r="BC137" i="1" s="1"/>
  <c r="BB176" i="1"/>
  <c r="BA176" i="1"/>
  <c r="AZ176" i="1"/>
  <c r="AY176" i="1"/>
  <c r="AX176" i="1"/>
  <c r="AW176" i="1"/>
  <c r="AV176" i="1"/>
  <c r="AU176" i="1"/>
  <c r="AU136" i="1" s="1"/>
  <c r="AU137" i="1" s="1"/>
  <c r="AT176" i="1"/>
  <c r="AS176" i="1"/>
  <c r="AR176" i="1"/>
  <c r="AO176" i="1"/>
  <c r="AN176" i="1"/>
  <c r="AM176" i="1"/>
  <c r="AL176" i="1"/>
  <c r="AI176" i="1"/>
  <c r="AF176" i="1"/>
  <c r="AC176" i="1"/>
  <c r="U176" i="1"/>
  <c r="T176" i="1"/>
  <c r="BK175" i="1"/>
  <c r="BJ175" i="1"/>
  <c r="BI175" i="1"/>
  <c r="BI135" i="1" s="1"/>
  <c r="BF175" i="1"/>
  <c r="BE175" i="1"/>
  <c r="BD175" i="1"/>
  <c r="BC175" i="1"/>
  <c r="BB175" i="1"/>
  <c r="BA175" i="1"/>
  <c r="AZ175" i="1"/>
  <c r="AY175" i="1"/>
  <c r="AY135" i="1" s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K175" i="1"/>
  <c r="AJ175" i="1"/>
  <c r="AI175" i="1"/>
  <c r="AH175" i="1"/>
  <c r="AF175" i="1"/>
  <c r="AE175" i="1"/>
  <c r="AD175" i="1"/>
  <c r="AC175" i="1"/>
  <c r="AL175" i="1" s="1"/>
  <c r="W175" i="1"/>
  <c r="V175" i="1"/>
  <c r="U175" i="1"/>
  <c r="T175" i="1"/>
  <c r="S175" i="1"/>
  <c r="Q175" i="1"/>
  <c r="P175" i="1"/>
  <c r="O175" i="1"/>
  <c r="I175" i="1"/>
  <c r="H175" i="1"/>
  <c r="E175" i="1"/>
  <c r="AP174" i="1"/>
  <c r="AQ174" i="1" s="1"/>
  <c r="AL174" i="1"/>
  <c r="AG174" i="1"/>
  <c r="AF174" i="1"/>
  <c r="AN174" i="1" s="1"/>
  <c r="AB174" i="1"/>
  <c r="W174" i="1"/>
  <c r="Z174" i="1" s="1"/>
  <c r="Q174" i="1"/>
  <c r="P174" i="1"/>
  <c r="N174" i="1" s="1"/>
  <c r="O174" i="1"/>
  <c r="AQ173" i="1"/>
  <c r="AN173" i="1"/>
  <c r="AL173" i="1"/>
  <c r="AJ173" i="1"/>
  <c r="AJ174" i="1" s="1"/>
  <c r="AI173" i="1"/>
  <c r="AI174" i="1" s="1"/>
  <c r="AG173" i="1"/>
  <c r="AB173" i="1"/>
  <c r="Z173" i="1"/>
  <c r="X173" i="1"/>
  <c r="AA173" i="1" s="1"/>
  <c r="Q173" i="1"/>
  <c r="P173" i="1"/>
  <c r="O173" i="1"/>
  <c r="N173" i="1"/>
  <c r="AQ172" i="1"/>
  <c r="AL172" i="1"/>
  <c r="AK172" i="1"/>
  <c r="AI172" i="1"/>
  <c r="AJ172" i="1" s="1"/>
  <c r="AG172" i="1"/>
  <c r="AB172" i="1"/>
  <c r="AA172" i="1"/>
  <c r="Z172" i="1"/>
  <c r="X172" i="1"/>
  <c r="P172" i="1"/>
  <c r="O172" i="1"/>
  <c r="N172" i="1"/>
  <c r="AQ171" i="1"/>
  <c r="AP171" i="1"/>
  <c r="AN171" i="1"/>
  <c r="AL171" i="1"/>
  <c r="AF171" i="1"/>
  <c r="AG171" i="1" s="1"/>
  <c r="AB171" i="1"/>
  <c r="Z171" i="1"/>
  <c r="X171" i="1"/>
  <c r="AA171" i="1" s="1"/>
  <c r="W171" i="1"/>
  <c r="AQ170" i="1"/>
  <c r="AN170" i="1"/>
  <c r="AL170" i="1"/>
  <c r="AI170" i="1"/>
  <c r="AJ170" i="1" s="1"/>
  <c r="AJ171" i="1" s="1"/>
  <c r="AG170" i="1"/>
  <c r="AB170" i="1"/>
  <c r="Z170" i="1"/>
  <c r="X170" i="1"/>
  <c r="AA170" i="1" s="1"/>
  <c r="Q170" i="1"/>
  <c r="P170" i="1" s="1"/>
  <c r="N170" i="1" s="1"/>
  <c r="AQ169" i="1"/>
  <c r="AL169" i="1"/>
  <c r="AK169" i="1"/>
  <c r="AJ169" i="1"/>
  <c r="AI169" i="1"/>
  <c r="AG169" i="1"/>
  <c r="AB169" i="1"/>
  <c r="Z169" i="1"/>
  <c r="X169" i="1"/>
  <c r="AA169" i="1" s="1"/>
  <c r="P169" i="1"/>
  <c r="O169" i="1"/>
  <c r="N169" i="1"/>
  <c r="AP168" i="1"/>
  <c r="AQ168" i="1" s="1"/>
  <c r="AL168" i="1"/>
  <c r="AI168" i="1"/>
  <c r="AG168" i="1"/>
  <c r="AF168" i="1"/>
  <c r="AN168" i="1" s="1"/>
  <c r="Z168" i="1"/>
  <c r="X168" i="1"/>
  <c r="AA168" i="1" s="1"/>
  <c r="Q168" i="1"/>
  <c r="P168" i="1"/>
  <c r="O168" i="1"/>
  <c r="N168" i="1"/>
  <c r="AQ167" i="1"/>
  <c r="AN167" i="1"/>
  <c r="AL167" i="1"/>
  <c r="AI167" i="1"/>
  <c r="AJ167" i="1" s="1"/>
  <c r="AJ168" i="1" s="1"/>
  <c r="AG167" i="1"/>
  <c r="Z167" i="1"/>
  <c r="X167" i="1"/>
  <c r="AA167" i="1" s="1"/>
  <c r="W167" i="1"/>
  <c r="Q167" i="1"/>
  <c r="P167" i="1" s="1"/>
  <c r="N167" i="1" s="1"/>
  <c r="O167" i="1"/>
  <c r="AQ166" i="1"/>
  <c r="AL166" i="1"/>
  <c r="AK166" i="1"/>
  <c r="AI166" i="1"/>
  <c r="AJ166" i="1" s="1"/>
  <c r="AG166" i="1"/>
  <c r="AB166" i="1"/>
  <c r="Z166" i="1"/>
  <c r="X166" i="1"/>
  <c r="AA166" i="1" s="1"/>
  <c r="P166" i="1"/>
  <c r="N166" i="1" s="1"/>
  <c r="O166" i="1"/>
  <c r="AP165" i="1"/>
  <c r="AQ165" i="1" s="1"/>
  <c r="AM165" i="1"/>
  <c r="AL165" i="1"/>
  <c r="AJ165" i="1"/>
  <c r="AI165" i="1"/>
  <c r="AF165" i="1"/>
  <c r="AG165" i="1" s="1"/>
  <c r="AC165" i="1"/>
  <c r="AQ164" i="1"/>
  <c r="AP164" i="1"/>
  <c r="AM164" i="1"/>
  <c r="AL164" i="1"/>
  <c r="AJ164" i="1"/>
  <c r="AG164" i="1"/>
  <c r="AD164" i="1"/>
  <c r="AD165" i="1" s="1"/>
  <c r="W164" i="1"/>
  <c r="Q164" i="1"/>
  <c r="Q165" i="1" s="1"/>
  <c r="AQ163" i="1"/>
  <c r="AL163" i="1"/>
  <c r="AK163" i="1"/>
  <c r="AJ163" i="1"/>
  <c r="AG163" i="1"/>
  <c r="Y163" i="1"/>
  <c r="AB163" i="1" s="1"/>
  <c r="AB146" i="1" s="1"/>
  <c r="X163" i="1"/>
  <c r="AA163" i="1" s="1"/>
  <c r="W163" i="1"/>
  <c r="Z163" i="1" s="1"/>
  <c r="P163" i="1"/>
  <c r="N163" i="1" s="1"/>
  <c r="O163" i="1"/>
  <c r="AQ162" i="1"/>
  <c r="AP162" i="1"/>
  <c r="AM162" i="1"/>
  <c r="AL162" i="1"/>
  <c r="AI162" i="1"/>
  <c r="AG162" i="1"/>
  <c r="AF162" i="1"/>
  <c r="AC162" i="1"/>
  <c r="W162" i="1"/>
  <c r="Z162" i="1" s="1"/>
  <c r="AP161" i="1"/>
  <c r="AQ161" i="1" s="1"/>
  <c r="AM161" i="1"/>
  <c r="AL161" i="1"/>
  <c r="AJ161" i="1"/>
  <c r="AJ162" i="1" s="1"/>
  <c r="AG161" i="1"/>
  <c r="AD161" i="1"/>
  <c r="AD162" i="1" s="1"/>
  <c r="X161" i="1"/>
  <c r="AA161" i="1" s="1"/>
  <c r="W161" i="1"/>
  <c r="Z161" i="1" s="1"/>
  <c r="Q161" i="1"/>
  <c r="AQ160" i="1"/>
  <c r="AL160" i="1"/>
  <c r="AK160" i="1"/>
  <c r="AJ160" i="1"/>
  <c r="AG160" i="1"/>
  <c r="AB160" i="1"/>
  <c r="Y160" i="1"/>
  <c r="W160" i="1"/>
  <c r="Z160" i="1" s="1"/>
  <c r="P160" i="1"/>
  <c r="O160" i="1"/>
  <c r="N160" i="1"/>
  <c r="AP159" i="1"/>
  <c r="AQ159" i="1" s="1"/>
  <c r="AL159" i="1"/>
  <c r="AG159" i="1"/>
  <c r="AF159" i="1"/>
  <c r="AM159" i="1" s="1"/>
  <c r="AC159" i="1"/>
  <c r="AQ158" i="1"/>
  <c r="AM158" i="1"/>
  <c r="AL158" i="1"/>
  <c r="AI158" i="1"/>
  <c r="AG158" i="1"/>
  <c r="AF158" i="1"/>
  <c r="AD158" i="1"/>
  <c r="AD159" i="1" s="1"/>
  <c r="X158" i="1"/>
  <c r="AA158" i="1" s="1"/>
  <c r="W158" i="1"/>
  <c r="Z158" i="1" s="1"/>
  <c r="Q158" i="1"/>
  <c r="AQ157" i="1"/>
  <c r="AL157" i="1"/>
  <c r="AK157" i="1"/>
  <c r="AJ157" i="1"/>
  <c r="AG157" i="1"/>
  <c r="Y157" i="1"/>
  <c r="AB157" i="1" s="1"/>
  <c r="X157" i="1"/>
  <c r="AA157" i="1" s="1"/>
  <c r="W157" i="1"/>
  <c r="Z157" i="1" s="1"/>
  <c r="S157" i="1"/>
  <c r="Q157" i="1"/>
  <c r="P157" i="1" s="1"/>
  <c r="N157" i="1" s="1"/>
  <c r="AP156" i="1"/>
  <c r="AQ156" i="1" s="1"/>
  <c r="AM156" i="1"/>
  <c r="AL156" i="1"/>
  <c r="AJ156" i="1"/>
  <c r="AI156" i="1"/>
  <c r="AF156" i="1"/>
  <c r="AD156" i="1"/>
  <c r="AC156" i="1"/>
  <c r="AQ155" i="1"/>
  <c r="AM155" i="1"/>
  <c r="AL155" i="1"/>
  <c r="AJ155" i="1"/>
  <c r="AG155" i="1"/>
  <c r="AG156" i="1" s="1"/>
  <c r="AD155" i="1"/>
  <c r="W155" i="1"/>
  <c r="Q155" i="1"/>
  <c r="P155" i="1" s="1"/>
  <c r="N155" i="1" s="1"/>
  <c r="AR154" i="1"/>
  <c r="AQ154" i="1"/>
  <c r="AQ146" i="1" s="1"/>
  <c r="AL154" i="1"/>
  <c r="AK154" i="1"/>
  <c r="AK146" i="1" s="1"/>
  <c r="AJ154" i="1"/>
  <c r="AG154" i="1"/>
  <c r="Y154" i="1"/>
  <c r="AB154" i="1" s="1"/>
  <c r="W154" i="1"/>
  <c r="P154" i="1"/>
  <c r="N154" i="1" s="1"/>
  <c r="O154" i="1"/>
  <c r="AP153" i="1"/>
  <c r="AQ153" i="1" s="1"/>
  <c r="AM153" i="1"/>
  <c r="AL153" i="1"/>
  <c r="AJ153" i="1"/>
  <c r="AI153" i="1"/>
  <c r="AF153" i="1"/>
  <c r="AC153" i="1"/>
  <c r="X153" i="1"/>
  <c r="AA153" i="1" s="1"/>
  <c r="W153" i="1"/>
  <c r="Z153" i="1" s="1"/>
  <c r="AQ152" i="1"/>
  <c r="AM152" i="1"/>
  <c r="AL152" i="1"/>
  <c r="AJ152" i="1"/>
  <c r="AG152" i="1"/>
  <c r="AG153" i="1" s="1"/>
  <c r="AD152" i="1"/>
  <c r="AD153" i="1" s="1"/>
  <c r="X152" i="1"/>
  <c r="AA152" i="1" s="1"/>
  <c r="W152" i="1"/>
  <c r="Z152" i="1" s="1"/>
  <c r="Q152" i="1"/>
  <c r="AQ151" i="1"/>
  <c r="AL151" i="1"/>
  <c r="AK151" i="1"/>
  <c r="AJ151" i="1"/>
  <c r="AG151" i="1"/>
  <c r="Y151" i="1"/>
  <c r="AB151" i="1" s="1"/>
  <c r="X151" i="1"/>
  <c r="AA151" i="1" s="1"/>
  <c r="W151" i="1"/>
  <c r="Z151" i="1" s="1"/>
  <c r="S151" i="1"/>
  <c r="Q151" i="1"/>
  <c r="P151" i="1" s="1"/>
  <c r="N151" i="1" s="1"/>
  <c r="AP150" i="1"/>
  <c r="AQ150" i="1" s="1"/>
  <c r="AM150" i="1"/>
  <c r="AJ150" i="1"/>
  <c r="AI150" i="1"/>
  <c r="AG150" i="1"/>
  <c r="AC150" i="1"/>
  <c r="W150" i="1"/>
  <c r="Q150" i="1"/>
  <c r="P150" i="1" s="1"/>
  <c r="N150" i="1" s="1"/>
  <c r="I150" i="1"/>
  <c r="J150" i="1" s="1"/>
  <c r="E150" i="1"/>
  <c r="AQ149" i="1"/>
  <c r="AQ147" i="1" s="1"/>
  <c r="AP149" i="1"/>
  <c r="AJ149" i="1"/>
  <c r="AG149" i="1"/>
  <c r="AF149" i="1"/>
  <c r="AM149" i="1" s="1"/>
  <c r="AM147" i="1" s="1"/>
  <c r="AD149" i="1"/>
  <c r="AD150" i="1" s="1"/>
  <c r="Q149" i="1"/>
  <c r="P149" i="1"/>
  <c r="O149" i="1"/>
  <c r="N149" i="1"/>
  <c r="J149" i="1"/>
  <c r="J147" i="1" s="1"/>
  <c r="AR148" i="1"/>
  <c r="AQ148" i="1"/>
  <c r="AK148" i="1"/>
  <c r="AJ148" i="1"/>
  <c r="AG148" i="1"/>
  <c r="AD148" i="1"/>
  <c r="AB148" i="1"/>
  <c r="Y148" i="1"/>
  <c r="W148" i="1"/>
  <c r="Z148" i="1" s="1"/>
  <c r="P148" i="1"/>
  <c r="P146" i="1" s="1"/>
  <c r="O148" i="1"/>
  <c r="N148" i="1"/>
  <c r="J148" i="1"/>
  <c r="F148" i="1"/>
  <c r="BK147" i="1"/>
  <c r="BJ147" i="1"/>
  <c r="BI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P147" i="1"/>
  <c r="AO147" i="1"/>
  <c r="AN147" i="1"/>
  <c r="AF147" i="1"/>
  <c r="AD147" i="1"/>
  <c r="AC147" i="1"/>
  <c r="AL147" i="1" s="1"/>
  <c r="U147" i="1"/>
  <c r="T147" i="1"/>
  <c r="I147" i="1"/>
  <c r="BK146" i="1"/>
  <c r="BJ146" i="1"/>
  <c r="BI146" i="1"/>
  <c r="BF146" i="1"/>
  <c r="BE146" i="1"/>
  <c r="BD146" i="1"/>
  <c r="BC146" i="1"/>
  <c r="BB146" i="1"/>
  <c r="BB135" i="1" s="1"/>
  <c r="BA146" i="1"/>
  <c r="AZ146" i="1"/>
  <c r="AY146" i="1"/>
  <c r="AX146" i="1"/>
  <c r="AW146" i="1"/>
  <c r="AV146" i="1"/>
  <c r="AU146" i="1"/>
  <c r="AT146" i="1"/>
  <c r="AS146" i="1"/>
  <c r="AP146" i="1"/>
  <c r="AO146" i="1"/>
  <c r="AN146" i="1"/>
  <c r="AM146" i="1"/>
  <c r="AL146" i="1"/>
  <c r="AJ146" i="1"/>
  <c r="AI146" i="1"/>
  <c r="AH146" i="1"/>
  <c r="AF146" i="1"/>
  <c r="AE146" i="1"/>
  <c r="AD146" i="1"/>
  <c r="AC146" i="1"/>
  <c r="V146" i="1"/>
  <c r="U146" i="1"/>
  <c r="T146" i="1"/>
  <c r="J146" i="1"/>
  <c r="I146" i="1"/>
  <c r="H146" i="1"/>
  <c r="F146" i="1"/>
  <c r="E146" i="1"/>
  <c r="AL145" i="1"/>
  <c r="AC145" i="1"/>
  <c r="W145" i="1"/>
  <c r="X145" i="1" s="1"/>
  <c r="AA145" i="1" s="1"/>
  <c r="AP144" i="1"/>
  <c r="AM144" i="1"/>
  <c r="AM139" i="1" s="1"/>
  <c r="AL144" i="1"/>
  <c r="AF144" i="1"/>
  <c r="AF145" i="1" s="1"/>
  <c r="AD144" i="1"/>
  <c r="AD145" i="1" s="1"/>
  <c r="AA144" i="1"/>
  <c r="Z144" i="1"/>
  <c r="X144" i="1"/>
  <c r="AQ143" i="1"/>
  <c r="AQ138" i="1" s="1"/>
  <c r="AL143" i="1"/>
  <c r="AK143" i="1"/>
  <c r="AJ143" i="1"/>
  <c r="AJ138" i="1" s="1"/>
  <c r="AG143" i="1"/>
  <c r="Z143" i="1"/>
  <c r="Y143" i="1"/>
  <c r="AB143" i="1" s="1"/>
  <c r="X143" i="1"/>
  <c r="AA143" i="1" s="1"/>
  <c r="Q143" i="1"/>
  <c r="Q144" i="1" s="1"/>
  <c r="P143" i="1"/>
  <c r="N143" i="1" s="1"/>
  <c r="AP142" i="1"/>
  <c r="AQ142" i="1" s="1"/>
  <c r="AM142" i="1"/>
  <c r="AL142" i="1"/>
  <c r="AJ142" i="1"/>
  <c r="AI142" i="1"/>
  <c r="AG142" i="1"/>
  <c r="AF142" i="1"/>
  <c r="AC142" i="1"/>
  <c r="W142" i="1"/>
  <c r="X142" i="1" s="1"/>
  <c r="AA142" i="1" s="1"/>
  <c r="Q142" i="1"/>
  <c r="P142" i="1" s="1"/>
  <c r="N142" i="1" s="1"/>
  <c r="I142" i="1"/>
  <c r="F142" i="1"/>
  <c r="E142" i="1"/>
  <c r="AQ141" i="1"/>
  <c r="AP141" i="1"/>
  <c r="AM141" i="1"/>
  <c r="AL141" i="1"/>
  <c r="AJ141" i="1"/>
  <c r="AG141" i="1"/>
  <c r="AD141" i="1"/>
  <c r="AD142" i="1" s="1"/>
  <c r="AA141" i="1"/>
  <c r="Z141" i="1"/>
  <c r="Z139" i="1" s="1"/>
  <c r="W141" i="1"/>
  <c r="X141" i="1" s="1"/>
  <c r="Q141" i="1"/>
  <c r="P141" i="1"/>
  <c r="O141" i="1"/>
  <c r="N141" i="1"/>
  <c r="J141" i="1"/>
  <c r="F141" i="1"/>
  <c r="AQ140" i="1"/>
  <c r="AL140" i="1"/>
  <c r="AK140" i="1"/>
  <c r="AJ140" i="1"/>
  <c r="AG140" i="1"/>
  <c r="AG138" i="1" s="1"/>
  <c r="AD140" i="1"/>
  <c r="AB140" i="1"/>
  <c r="AB138" i="1" s="1"/>
  <c r="Y140" i="1"/>
  <c r="W140" i="1"/>
  <c r="Z140" i="1" s="1"/>
  <c r="Z138" i="1" s="1"/>
  <c r="P140" i="1"/>
  <c r="P138" i="1" s="1"/>
  <c r="O140" i="1"/>
  <c r="N140" i="1"/>
  <c r="N138" i="1" s="1"/>
  <c r="J140" i="1"/>
  <c r="E140" i="1"/>
  <c r="F140" i="1" s="1"/>
  <c r="F138" i="1" s="1"/>
  <c r="BK139" i="1"/>
  <c r="BJ139" i="1"/>
  <c r="BI139" i="1"/>
  <c r="BF139" i="1"/>
  <c r="BF136" i="1" s="1"/>
  <c r="BE139" i="1"/>
  <c r="BE136" i="1" s="1"/>
  <c r="BE137" i="1" s="1"/>
  <c r="BD139" i="1"/>
  <c r="BC139" i="1"/>
  <c r="BB139" i="1"/>
  <c r="BA139" i="1"/>
  <c r="AZ139" i="1"/>
  <c r="AY139" i="1"/>
  <c r="AX139" i="1"/>
  <c r="AX136" i="1" s="1"/>
  <c r="AW139" i="1"/>
  <c r="AW136" i="1" s="1"/>
  <c r="AW137" i="1" s="1"/>
  <c r="AV139" i="1"/>
  <c r="AU139" i="1"/>
  <c r="AT139" i="1"/>
  <c r="AS139" i="1"/>
  <c r="AR139" i="1"/>
  <c r="AO139" i="1"/>
  <c r="AO136" i="1" s="1"/>
  <c r="AN139" i="1"/>
  <c r="AF139" i="1"/>
  <c r="AD139" i="1"/>
  <c r="AC139" i="1"/>
  <c r="AL139" i="1" s="1"/>
  <c r="W139" i="1"/>
  <c r="U139" i="1"/>
  <c r="U136" i="1" s="1"/>
  <c r="T139" i="1"/>
  <c r="T136" i="1" s="1"/>
  <c r="Q139" i="1"/>
  <c r="I139" i="1"/>
  <c r="F139" i="1"/>
  <c r="E139" i="1"/>
  <c r="BK138" i="1"/>
  <c r="BJ138" i="1"/>
  <c r="BI138" i="1"/>
  <c r="BF138" i="1"/>
  <c r="BE138" i="1"/>
  <c r="BD138" i="1"/>
  <c r="BC138" i="1"/>
  <c r="BC135" i="1" s="1"/>
  <c r="BB138" i="1"/>
  <c r="BA138" i="1"/>
  <c r="AZ138" i="1"/>
  <c r="AY138" i="1"/>
  <c r="AX138" i="1"/>
  <c r="AW138" i="1"/>
  <c r="AV138" i="1"/>
  <c r="AU138" i="1"/>
  <c r="AT138" i="1"/>
  <c r="AS138" i="1"/>
  <c r="AR138" i="1"/>
  <c r="AP138" i="1"/>
  <c r="AO138" i="1"/>
  <c r="AN138" i="1"/>
  <c r="AM138" i="1"/>
  <c r="AM135" i="1" s="1"/>
  <c r="AK138" i="1"/>
  <c r="AI138" i="1"/>
  <c r="AH138" i="1"/>
  <c r="AF138" i="1"/>
  <c r="AE138" i="1"/>
  <c r="AD138" i="1"/>
  <c r="AC138" i="1"/>
  <c r="Y138" i="1"/>
  <c r="W138" i="1"/>
  <c r="V138" i="1"/>
  <c r="U138" i="1"/>
  <c r="T138" i="1"/>
  <c r="S138" i="1"/>
  <c r="J138" i="1"/>
  <c r="I138" i="1"/>
  <c r="I135" i="1" s="1"/>
  <c r="H138" i="1"/>
  <c r="E138" i="1"/>
  <c r="BF137" i="1"/>
  <c r="AZ137" i="1"/>
  <c r="AX137" i="1"/>
  <c r="AX15" i="1" s="1"/>
  <c r="AO137" i="1"/>
  <c r="U137" i="1"/>
  <c r="T137" i="1"/>
  <c r="BK136" i="1"/>
  <c r="BK137" i="1" s="1"/>
  <c r="BJ136" i="1"/>
  <c r="BJ137" i="1" s="1"/>
  <c r="BH136" i="1"/>
  <c r="BD136" i="1"/>
  <c r="BD137" i="1" s="1"/>
  <c r="BB136" i="1"/>
  <c r="BB137" i="1" s="1"/>
  <c r="BA136" i="1"/>
  <c r="BA137" i="1" s="1"/>
  <c r="AZ136" i="1"/>
  <c r="AV136" i="1"/>
  <c r="AV137" i="1" s="1"/>
  <c r="AT136" i="1"/>
  <c r="AT137" i="1" s="1"/>
  <c r="AS136" i="1"/>
  <c r="AS137" i="1" s="1"/>
  <c r="AR136" i="1"/>
  <c r="AR137" i="1" s="1"/>
  <c r="BK135" i="1"/>
  <c r="BJ135" i="1"/>
  <c r="BH135" i="1"/>
  <c r="BD135" i="1"/>
  <c r="BA135" i="1"/>
  <c r="AZ135" i="1"/>
  <c r="AV135" i="1"/>
  <c r="AS135" i="1"/>
  <c r="AN135" i="1"/>
  <c r="AH135" i="1"/>
  <c r="V135" i="1"/>
  <c r="U135" i="1"/>
  <c r="T135" i="1"/>
  <c r="H135" i="1"/>
  <c r="BJ134" i="1"/>
  <c r="AP134" i="1"/>
  <c r="AO134" i="1"/>
  <c r="AO121" i="1" s="1"/>
  <c r="AO120" i="1" s="1"/>
  <c r="AL134" i="1"/>
  <c r="AK134" i="1"/>
  <c r="AF134" i="1"/>
  <c r="AI134" i="1" s="1"/>
  <c r="AC134" i="1"/>
  <c r="AD134" i="1" s="1"/>
  <c r="AD121" i="1" s="1"/>
  <c r="AB134" i="1"/>
  <c r="AA134" i="1"/>
  <c r="Z134" i="1"/>
  <c r="X134" i="1"/>
  <c r="W134" i="1"/>
  <c r="Q134" i="1"/>
  <c r="P134" i="1"/>
  <c r="J134" i="1"/>
  <c r="I134" i="1"/>
  <c r="F134" i="1"/>
  <c r="E134" i="1"/>
  <c r="BJ133" i="1"/>
  <c r="AQ133" i="1"/>
  <c r="AO133" i="1"/>
  <c r="AL133" i="1"/>
  <c r="AK133" i="1"/>
  <c r="AI133" i="1"/>
  <c r="AG133" i="1"/>
  <c r="AD133" i="1"/>
  <c r="AJ133" i="1" s="1"/>
  <c r="AB133" i="1"/>
  <c r="Z133" i="1"/>
  <c r="X133" i="1"/>
  <c r="AA133" i="1" s="1"/>
  <c r="Q133" i="1"/>
  <c r="P133" i="1" s="1"/>
  <c r="J133" i="1"/>
  <c r="F133" i="1"/>
  <c r="AP132" i="1"/>
  <c r="AQ132" i="1" s="1"/>
  <c r="AL132" i="1"/>
  <c r="AK132" i="1"/>
  <c r="AF132" i="1"/>
  <c r="AI132" i="1" s="1"/>
  <c r="AD132" i="1"/>
  <c r="AB132" i="1"/>
  <c r="AA132" i="1"/>
  <c r="Z132" i="1"/>
  <c r="X132" i="1"/>
  <c r="P132" i="1"/>
  <c r="O132" i="1"/>
  <c r="O133" i="1" s="1"/>
  <c r="N132" i="1"/>
  <c r="J132" i="1"/>
  <c r="F132" i="1"/>
  <c r="AN131" i="1"/>
  <c r="AM131" i="1"/>
  <c r="AK131" i="1"/>
  <c r="AG131" i="1"/>
  <c r="AF131" i="1"/>
  <c r="AC131" i="1"/>
  <c r="AL131" i="1" s="1"/>
  <c r="AB131" i="1"/>
  <c r="X131" i="1"/>
  <c r="W131" i="1"/>
  <c r="T131" i="1"/>
  <c r="J131" i="1"/>
  <c r="I131" i="1"/>
  <c r="E131" i="1"/>
  <c r="AQ130" i="1"/>
  <c r="AP130" i="1"/>
  <c r="AP131" i="1" s="1"/>
  <c r="AQ131" i="1" s="1"/>
  <c r="AQ122" i="1" s="1"/>
  <c r="AO130" i="1"/>
  <c r="AO131" i="1" s="1"/>
  <c r="AO122" i="1" s="1"/>
  <c r="AL130" i="1"/>
  <c r="AK130" i="1"/>
  <c r="AI130" i="1"/>
  <c r="AG130" i="1"/>
  <c r="AD130" i="1"/>
  <c r="AB130" i="1"/>
  <c r="AA130" i="1"/>
  <c r="Z130" i="1"/>
  <c r="X130" i="1"/>
  <c r="U130" i="1"/>
  <c r="J130" i="1"/>
  <c r="F130" i="1"/>
  <c r="AP129" i="1"/>
  <c r="AQ129" i="1" s="1"/>
  <c r="AL129" i="1"/>
  <c r="AK129" i="1"/>
  <c r="AG129" i="1"/>
  <c r="AJ129" i="1" s="1"/>
  <c r="AF129" i="1"/>
  <c r="AI129" i="1" s="1"/>
  <c r="AD129" i="1"/>
  <c r="AB129" i="1"/>
  <c r="Z129" i="1"/>
  <c r="X129" i="1"/>
  <c r="U129" i="1"/>
  <c r="AA129" i="1" s="1"/>
  <c r="Q129" i="1"/>
  <c r="P129" i="1" s="1"/>
  <c r="P119" i="1" s="1"/>
  <c r="J129" i="1"/>
  <c r="F129" i="1"/>
  <c r="AQ128" i="1"/>
  <c r="AL128" i="1"/>
  <c r="AK128" i="1"/>
  <c r="AJ128" i="1"/>
  <c r="AI128" i="1"/>
  <c r="AB128" i="1"/>
  <c r="AA128" i="1"/>
  <c r="Z128" i="1"/>
  <c r="N128" i="1"/>
  <c r="O128" i="1" s="1"/>
  <c r="I128" i="1"/>
  <c r="J128" i="1" s="1"/>
  <c r="E128" i="1"/>
  <c r="F128" i="1" s="1"/>
  <c r="AQ127" i="1"/>
  <c r="AL127" i="1"/>
  <c r="AK127" i="1"/>
  <c r="AJ127" i="1"/>
  <c r="AI127" i="1"/>
  <c r="AB127" i="1"/>
  <c r="AA127" i="1"/>
  <c r="Z127" i="1"/>
  <c r="P127" i="1"/>
  <c r="Q127" i="1" s="1"/>
  <c r="N127" i="1"/>
  <c r="O127" i="1" s="1"/>
  <c r="J127" i="1"/>
  <c r="F127" i="1"/>
  <c r="E127" i="1"/>
  <c r="AW126" i="1"/>
  <c r="AQ126" i="1"/>
  <c r="AL126" i="1"/>
  <c r="AK126" i="1"/>
  <c r="AI126" i="1"/>
  <c r="AG126" i="1"/>
  <c r="AJ126" i="1" s="1"/>
  <c r="AB126" i="1"/>
  <c r="AA126" i="1"/>
  <c r="Z126" i="1"/>
  <c r="S126" i="1"/>
  <c r="P126" i="1"/>
  <c r="Q126" i="1" s="1"/>
  <c r="Q119" i="1" s="1"/>
  <c r="O126" i="1"/>
  <c r="J126" i="1"/>
  <c r="J119" i="1" s="1"/>
  <c r="H126" i="1"/>
  <c r="F126" i="1"/>
  <c r="E126" i="1"/>
  <c r="AQ125" i="1"/>
  <c r="AP125" i="1"/>
  <c r="AL125" i="1"/>
  <c r="AK125" i="1"/>
  <c r="AJ125" i="1"/>
  <c r="AI125" i="1"/>
  <c r="AG125" i="1"/>
  <c r="AD125" i="1"/>
  <c r="AB125" i="1"/>
  <c r="AB121" i="1" s="1"/>
  <c r="AA125" i="1"/>
  <c r="Z125" i="1"/>
  <c r="P125" i="1"/>
  <c r="I125" i="1"/>
  <c r="J125" i="1" s="1"/>
  <c r="J121" i="1" s="1"/>
  <c r="AQ124" i="1"/>
  <c r="AL124" i="1"/>
  <c r="AK124" i="1"/>
  <c r="AJ124" i="1"/>
  <c r="AI124" i="1"/>
  <c r="AG124" i="1"/>
  <c r="AD124" i="1"/>
  <c r="AB124" i="1"/>
  <c r="AA124" i="1"/>
  <c r="Z124" i="1"/>
  <c r="P124" i="1"/>
  <c r="Q124" i="1" s="1"/>
  <c r="J124" i="1"/>
  <c r="E124" i="1"/>
  <c r="AW123" i="1"/>
  <c r="AP123" i="1"/>
  <c r="AQ123" i="1" s="1"/>
  <c r="AQ119" i="1" s="1"/>
  <c r="AL123" i="1"/>
  <c r="AK123" i="1"/>
  <c r="AI123" i="1"/>
  <c r="AG123" i="1"/>
  <c r="AD123" i="1"/>
  <c r="AD119" i="1" s="1"/>
  <c r="Y123" i="1"/>
  <c r="W123" i="1" s="1"/>
  <c r="X123" i="1" s="1"/>
  <c r="X119" i="1" s="1"/>
  <c r="V123" i="1"/>
  <c r="S123" i="1"/>
  <c r="S119" i="1" s="1"/>
  <c r="Q123" i="1"/>
  <c r="O123" i="1"/>
  <c r="N123" i="1"/>
  <c r="J123" i="1"/>
  <c r="H123" i="1"/>
  <c r="H119" i="1" s="1"/>
  <c r="F123" i="1"/>
  <c r="F119" i="1" s="1"/>
  <c r="BK122" i="1"/>
  <c r="BK120" i="1" s="1"/>
  <c r="BJ122" i="1"/>
  <c r="BI122" i="1"/>
  <c r="BH122" i="1"/>
  <c r="BF122" i="1"/>
  <c r="BE122" i="1"/>
  <c r="BD122" i="1"/>
  <c r="BD120" i="1" s="1"/>
  <c r="BC122" i="1"/>
  <c r="BC120" i="1" s="1"/>
  <c r="BB122" i="1"/>
  <c r="BB120" i="1" s="1"/>
  <c r="BA122" i="1"/>
  <c r="AZ122" i="1"/>
  <c r="AY122" i="1"/>
  <c r="AX122" i="1"/>
  <c r="AW122" i="1"/>
  <c r="AV122" i="1"/>
  <c r="AV120" i="1" s="1"/>
  <c r="AU122" i="1"/>
  <c r="AU120" i="1" s="1"/>
  <c r="AT122" i="1"/>
  <c r="AT120" i="1" s="1"/>
  <c r="AS122" i="1"/>
  <c r="AR122" i="1"/>
  <c r="AN122" i="1"/>
  <c r="AN120" i="1" s="1"/>
  <c r="AM122" i="1"/>
  <c r="AM120" i="1" s="1"/>
  <c r="AG122" i="1"/>
  <c r="AF122" i="1"/>
  <c r="AC122" i="1"/>
  <c r="AB122" i="1"/>
  <c r="Y122" i="1"/>
  <c r="X122" i="1"/>
  <c r="W122" i="1"/>
  <c r="V122" i="1"/>
  <c r="T122" i="1"/>
  <c r="T120" i="1" s="1"/>
  <c r="S122" i="1"/>
  <c r="S120" i="1" s="1"/>
  <c r="R122" i="1"/>
  <c r="M122" i="1"/>
  <c r="L122" i="1"/>
  <c r="L120" i="1" s="1"/>
  <c r="K122" i="1"/>
  <c r="J122" i="1"/>
  <c r="I122" i="1"/>
  <c r="BK121" i="1"/>
  <c r="BJ121" i="1"/>
  <c r="BJ120" i="1" s="1"/>
  <c r="BI121" i="1"/>
  <c r="BI120" i="1" s="1"/>
  <c r="BH121" i="1"/>
  <c r="BH120" i="1" s="1"/>
  <c r="BF121" i="1"/>
  <c r="BE121" i="1"/>
  <c r="BD121" i="1"/>
  <c r="BC121" i="1"/>
  <c r="BB121" i="1"/>
  <c r="BA121" i="1"/>
  <c r="BA120" i="1" s="1"/>
  <c r="AZ121" i="1"/>
  <c r="AZ120" i="1" s="1"/>
  <c r="AY121" i="1"/>
  <c r="AY120" i="1" s="1"/>
  <c r="AX121" i="1"/>
  <c r="AW121" i="1"/>
  <c r="AV121" i="1"/>
  <c r="AU121" i="1"/>
  <c r="AT121" i="1"/>
  <c r="AS121" i="1"/>
  <c r="AS120" i="1" s="1"/>
  <c r="AR121" i="1"/>
  <c r="AR120" i="1" s="1"/>
  <c r="AN121" i="1"/>
  <c r="AM121" i="1"/>
  <c r="AI121" i="1"/>
  <c r="AF121" i="1"/>
  <c r="AC121" i="1"/>
  <c r="AL121" i="1" s="1"/>
  <c r="Z121" i="1"/>
  <c r="Y121" i="1"/>
  <c r="Y120" i="1" s="1"/>
  <c r="X121" i="1"/>
  <c r="X120" i="1" s="1"/>
  <c r="W121" i="1"/>
  <c r="V121" i="1"/>
  <c r="U121" i="1"/>
  <c r="T121" i="1"/>
  <c r="S121" i="1"/>
  <c r="R121" i="1"/>
  <c r="M121" i="1"/>
  <c r="L121" i="1"/>
  <c r="K121" i="1"/>
  <c r="I121" i="1"/>
  <c r="I120" i="1" s="1"/>
  <c r="BF120" i="1"/>
  <c r="BE120" i="1"/>
  <c r="AX120" i="1"/>
  <c r="AW120" i="1"/>
  <c r="AF120" i="1"/>
  <c r="W120" i="1"/>
  <c r="V120" i="1"/>
  <c r="M120" i="1"/>
  <c r="K120" i="1"/>
  <c r="BK119" i="1"/>
  <c r="BJ119" i="1"/>
  <c r="BI119" i="1"/>
  <c r="BH119" i="1"/>
  <c r="BF119" i="1"/>
  <c r="BE119" i="1"/>
  <c r="BD119" i="1"/>
  <c r="BC119" i="1"/>
  <c r="BB119" i="1"/>
  <c r="BA119" i="1"/>
  <c r="AZ119" i="1"/>
  <c r="AY119" i="1"/>
  <c r="AX119" i="1"/>
  <c r="AV119" i="1"/>
  <c r="AU119" i="1"/>
  <c r="AT119" i="1"/>
  <c r="AS119" i="1"/>
  <c r="AR119" i="1"/>
  <c r="AO119" i="1"/>
  <c r="AN119" i="1"/>
  <c r="AM119" i="1"/>
  <c r="AK119" i="1"/>
  <c r="AH119" i="1"/>
  <c r="AE119" i="1"/>
  <c r="AC119" i="1"/>
  <c r="AL119" i="1" s="1"/>
  <c r="Y119" i="1"/>
  <c r="I119" i="1"/>
  <c r="E119" i="1"/>
  <c r="AP118" i="1"/>
  <c r="AN118" i="1"/>
  <c r="AG118" i="1"/>
  <c r="AQ118" i="1" s="1"/>
  <c r="AF118" i="1"/>
  <c r="AC118" i="1"/>
  <c r="AA118" i="1"/>
  <c r="Z118" i="1"/>
  <c r="I118" i="1"/>
  <c r="E118" i="1" s="1"/>
  <c r="AP117" i="1"/>
  <c r="AN117" i="1"/>
  <c r="AI117" i="1"/>
  <c r="AG117" i="1"/>
  <c r="AC117" i="1"/>
  <c r="AD117" i="1" s="1"/>
  <c r="AA117" i="1"/>
  <c r="Z117" i="1"/>
  <c r="O117" i="1"/>
  <c r="N117" i="1"/>
  <c r="I117" i="1"/>
  <c r="J117" i="1" s="1"/>
  <c r="AP116" i="1"/>
  <c r="AQ116" i="1" s="1"/>
  <c r="AL116" i="1"/>
  <c r="AJ116" i="1"/>
  <c r="AI116" i="1"/>
  <c r="AG116" i="1"/>
  <c r="AD116" i="1"/>
  <c r="AA116" i="1"/>
  <c r="Z116" i="1"/>
  <c r="Q116" i="1"/>
  <c r="P116" i="1"/>
  <c r="N116" i="1"/>
  <c r="J116" i="1"/>
  <c r="F116" i="1"/>
  <c r="E116" i="1"/>
  <c r="AN115" i="1"/>
  <c r="AL115" i="1"/>
  <c r="AJ115" i="1"/>
  <c r="AI115" i="1"/>
  <c r="AG115" i="1"/>
  <c r="AF115" i="1"/>
  <c r="AD115" i="1"/>
  <c r="AA115" i="1"/>
  <c r="Z115" i="1"/>
  <c r="AN114" i="1"/>
  <c r="AL114" i="1"/>
  <c r="AJ114" i="1"/>
  <c r="AI114" i="1"/>
  <c r="AG114" i="1"/>
  <c r="AD114" i="1"/>
  <c r="AA114" i="1"/>
  <c r="Z114" i="1"/>
  <c r="O114" i="1"/>
  <c r="N114" i="1"/>
  <c r="P114" i="1" s="1"/>
  <c r="AQ113" i="1"/>
  <c r="AG113" i="1"/>
  <c r="AJ113" i="1" s="1"/>
  <c r="AF113" i="1"/>
  <c r="AD113" i="1"/>
  <c r="AA113" i="1"/>
  <c r="Z113" i="1"/>
  <c r="Q113" i="1"/>
  <c r="N113" i="1"/>
  <c r="P113" i="1" s="1"/>
  <c r="AP113" i="1" s="1"/>
  <c r="AP114" i="1" s="1"/>
  <c r="AL112" i="1"/>
  <c r="AI112" i="1"/>
  <c r="AF112" i="1"/>
  <c r="AG112" i="1" s="1"/>
  <c r="AJ112" i="1" s="1"/>
  <c r="AD112" i="1"/>
  <c r="AA112" i="1"/>
  <c r="Z112" i="1"/>
  <c r="Q112" i="1"/>
  <c r="AN111" i="1"/>
  <c r="AN112" i="1" s="1"/>
  <c r="AL111" i="1"/>
  <c r="AJ111" i="1"/>
  <c r="AI111" i="1"/>
  <c r="AG111" i="1"/>
  <c r="AD111" i="1"/>
  <c r="AA111" i="1"/>
  <c r="Z111" i="1"/>
  <c r="O111" i="1"/>
  <c r="O112" i="1" s="1"/>
  <c r="AD110" i="1"/>
  <c r="AA110" i="1"/>
  <c r="Z110" i="1"/>
  <c r="Q110" i="1"/>
  <c r="P110" i="1"/>
  <c r="N110" i="1"/>
  <c r="N111" i="1" s="1"/>
  <c r="AN109" i="1"/>
  <c r="AI109" i="1"/>
  <c r="AG109" i="1"/>
  <c r="AJ109" i="1" s="1"/>
  <c r="AF109" i="1"/>
  <c r="AL109" i="1" s="1"/>
  <c r="AD109" i="1"/>
  <c r="AA109" i="1"/>
  <c r="Z109" i="1"/>
  <c r="O109" i="1"/>
  <c r="Q109" i="1" s="1"/>
  <c r="AN108" i="1"/>
  <c r="AL108" i="1"/>
  <c r="AI108" i="1"/>
  <c r="AG108" i="1"/>
  <c r="AJ108" i="1" s="1"/>
  <c r="AD108" i="1"/>
  <c r="AA108" i="1"/>
  <c r="Z108" i="1"/>
  <c r="Q108" i="1"/>
  <c r="O108" i="1"/>
  <c r="AQ107" i="1"/>
  <c r="AP107" i="1"/>
  <c r="AP108" i="1" s="1"/>
  <c r="AL107" i="1"/>
  <c r="AJ107" i="1"/>
  <c r="AI107" i="1"/>
  <c r="AG107" i="1"/>
  <c r="AD107" i="1"/>
  <c r="AA107" i="1"/>
  <c r="Z107" i="1"/>
  <c r="Q107" i="1"/>
  <c r="P107" i="1"/>
  <c r="N107" i="1"/>
  <c r="N108" i="1" s="1"/>
  <c r="P108" i="1" s="1"/>
  <c r="AG106" i="1"/>
  <c r="AJ106" i="1" s="1"/>
  <c r="AC106" i="1"/>
  <c r="AA106" i="1"/>
  <c r="Z106" i="1"/>
  <c r="Q106" i="1"/>
  <c r="O106" i="1"/>
  <c r="N106" i="1"/>
  <c r="P106" i="1" s="1"/>
  <c r="I106" i="1"/>
  <c r="E106" i="1" s="1"/>
  <c r="F106" i="1" s="1"/>
  <c r="AL105" i="1"/>
  <c r="AJ105" i="1"/>
  <c r="AI105" i="1"/>
  <c r="AG105" i="1"/>
  <c r="AD105" i="1"/>
  <c r="AD106" i="1" s="1"/>
  <c r="AA105" i="1"/>
  <c r="Z105" i="1"/>
  <c r="Q105" i="1"/>
  <c r="P105" i="1"/>
  <c r="O105" i="1"/>
  <c r="N105" i="1"/>
  <c r="J105" i="1"/>
  <c r="J106" i="1" s="1"/>
  <c r="E105" i="1"/>
  <c r="F105" i="1" s="1"/>
  <c r="AT104" i="1"/>
  <c r="AP104" i="1"/>
  <c r="AP105" i="1" s="1"/>
  <c r="AN104" i="1"/>
  <c r="AN105" i="1" s="1"/>
  <c r="AL104" i="1"/>
  <c r="AI104" i="1"/>
  <c r="AG104" i="1"/>
  <c r="AD104" i="1"/>
  <c r="AA104" i="1"/>
  <c r="Z104" i="1"/>
  <c r="Q104" i="1"/>
  <c r="P104" i="1"/>
  <c r="N104" i="1"/>
  <c r="J104" i="1"/>
  <c r="E104" i="1"/>
  <c r="F104" i="1" s="1"/>
  <c r="AQ103" i="1"/>
  <c r="AP103" i="1"/>
  <c r="AG103" i="1"/>
  <c r="AJ103" i="1" s="1"/>
  <c r="AF103" i="1"/>
  <c r="AD103" i="1"/>
  <c r="AC103" i="1"/>
  <c r="AA103" i="1"/>
  <c r="Z103" i="1"/>
  <c r="O103" i="1"/>
  <c r="Q103" i="1" s="1"/>
  <c r="J103" i="1"/>
  <c r="I103" i="1"/>
  <c r="E103" i="1" s="1"/>
  <c r="F103" i="1" s="1"/>
  <c r="AL102" i="1"/>
  <c r="AJ102" i="1"/>
  <c r="AI102" i="1"/>
  <c r="AG102" i="1"/>
  <c r="AD102" i="1"/>
  <c r="AA102" i="1"/>
  <c r="Z102" i="1"/>
  <c r="O102" i="1"/>
  <c r="Q102" i="1" s="1"/>
  <c r="N102" i="1"/>
  <c r="N103" i="1" s="1"/>
  <c r="P103" i="1" s="1"/>
  <c r="J102" i="1"/>
  <c r="F102" i="1"/>
  <c r="E102" i="1"/>
  <c r="AT101" i="1"/>
  <c r="AQ101" i="1"/>
  <c r="AP101" i="1"/>
  <c r="AP102" i="1" s="1"/>
  <c r="AQ102" i="1" s="1"/>
  <c r="AN101" i="1"/>
  <c r="AN102" i="1" s="1"/>
  <c r="AL101" i="1"/>
  <c r="AJ101" i="1"/>
  <c r="AI101" i="1"/>
  <c r="AG101" i="1"/>
  <c r="AD101" i="1"/>
  <c r="AA101" i="1"/>
  <c r="Z101" i="1"/>
  <c r="Q101" i="1"/>
  <c r="P101" i="1"/>
  <c r="N101" i="1"/>
  <c r="J101" i="1"/>
  <c r="E101" i="1"/>
  <c r="F101" i="1" s="1"/>
  <c r="AC100" i="1"/>
  <c r="AD100" i="1" s="1"/>
  <c r="AA100" i="1"/>
  <c r="Z100" i="1"/>
  <c r="J100" i="1"/>
  <c r="I100" i="1"/>
  <c r="E100" i="1"/>
  <c r="F100" i="1" s="1"/>
  <c r="AI99" i="1"/>
  <c r="AD99" i="1"/>
  <c r="AA99" i="1"/>
  <c r="Z99" i="1"/>
  <c r="O99" i="1"/>
  <c r="N99" i="1"/>
  <c r="N100" i="1" s="1"/>
  <c r="P100" i="1" s="1"/>
  <c r="J99" i="1"/>
  <c r="E99" i="1"/>
  <c r="F99" i="1" s="1"/>
  <c r="AP98" i="1"/>
  <c r="AN98" i="1"/>
  <c r="AN99" i="1" s="1"/>
  <c r="AL98" i="1"/>
  <c r="AI98" i="1"/>
  <c r="AG98" i="1"/>
  <c r="AJ98" i="1" s="1"/>
  <c r="AT98" i="1"/>
  <c r="AD98" i="1"/>
  <c r="AA98" i="1"/>
  <c r="Z98" i="1"/>
  <c r="Q98" i="1"/>
  <c r="P98" i="1"/>
  <c r="N98" i="1"/>
  <c r="J98" i="1"/>
  <c r="E98" i="1"/>
  <c r="F98" i="1" s="1"/>
  <c r="AQ97" i="1"/>
  <c r="AP97" i="1"/>
  <c r="AN97" i="1"/>
  <c r="AG97" i="1"/>
  <c r="AC97" i="1"/>
  <c r="AL97" i="1" s="1"/>
  <c r="AA97" i="1"/>
  <c r="Z97" i="1"/>
  <c r="Q97" i="1"/>
  <c r="O97" i="1"/>
  <c r="I97" i="1"/>
  <c r="J97" i="1" s="1"/>
  <c r="E97" i="1"/>
  <c r="F97" i="1" s="1"/>
  <c r="AQ96" i="1"/>
  <c r="AP96" i="1"/>
  <c r="AN96" i="1"/>
  <c r="AL96" i="1"/>
  <c r="AI96" i="1"/>
  <c r="AG96" i="1"/>
  <c r="AJ96" i="1" s="1"/>
  <c r="AD96" i="1"/>
  <c r="AA96" i="1"/>
  <c r="Z96" i="1"/>
  <c r="Q96" i="1"/>
  <c r="O96" i="1"/>
  <c r="N96" i="1"/>
  <c r="J96" i="1"/>
  <c r="F96" i="1"/>
  <c r="E96" i="1"/>
  <c r="AQ95" i="1"/>
  <c r="AN95" i="1"/>
  <c r="AL95" i="1"/>
  <c r="AI95" i="1"/>
  <c r="AG95" i="1"/>
  <c r="AJ95" i="1" s="1"/>
  <c r="AD95" i="1"/>
  <c r="AA95" i="1"/>
  <c r="Z95" i="1"/>
  <c r="Q95" i="1"/>
  <c r="P95" i="1"/>
  <c r="N95" i="1"/>
  <c r="J95" i="1"/>
  <c r="F95" i="1"/>
  <c r="E95" i="1"/>
  <c r="AN94" i="1"/>
  <c r="AL94" i="1"/>
  <c r="AJ94" i="1"/>
  <c r="AI94" i="1"/>
  <c r="AG94" i="1"/>
  <c r="AC94" i="1"/>
  <c r="AD94" i="1" s="1"/>
  <c r="AA94" i="1"/>
  <c r="Z94" i="1"/>
  <c r="O94" i="1"/>
  <c r="Q94" i="1" s="1"/>
  <c r="I94" i="1"/>
  <c r="J94" i="1" s="1"/>
  <c r="AQ93" i="1"/>
  <c r="AP93" i="1"/>
  <c r="AP94" i="1" s="1"/>
  <c r="AQ94" i="1" s="1"/>
  <c r="AL93" i="1"/>
  <c r="AI93" i="1"/>
  <c r="AG93" i="1"/>
  <c r="AJ93" i="1" s="1"/>
  <c r="AD93" i="1"/>
  <c r="AA93" i="1"/>
  <c r="Z93" i="1"/>
  <c r="Q93" i="1"/>
  <c r="O93" i="1"/>
  <c r="J93" i="1"/>
  <c r="E93" i="1"/>
  <c r="F93" i="1" s="1"/>
  <c r="AV92" i="1"/>
  <c r="AQ92" i="1"/>
  <c r="AN92" i="1"/>
  <c r="AN93" i="1" s="1"/>
  <c r="AL92" i="1"/>
  <c r="AI92" i="1"/>
  <c r="AG92" i="1"/>
  <c r="AD92" i="1"/>
  <c r="AJ92" i="1" s="1"/>
  <c r="AA92" i="1"/>
  <c r="Z92" i="1"/>
  <c r="Q92" i="1"/>
  <c r="N92" i="1"/>
  <c r="P92" i="1" s="1"/>
  <c r="J92" i="1"/>
  <c r="E92" i="1"/>
  <c r="F92" i="1" s="1"/>
  <c r="AP91" i="1"/>
  <c r="AQ91" i="1" s="1"/>
  <c r="AN91" i="1"/>
  <c r="AG91" i="1"/>
  <c r="AC91" i="1"/>
  <c r="AA91" i="1"/>
  <c r="Z91" i="1"/>
  <c r="I91" i="1"/>
  <c r="J91" i="1" s="1"/>
  <c r="E91" i="1"/>
  <c r="F91" i="1" s="1"/>
  <c r="AP90" i="1"/>
  <c r="AQ90" i="1" s="1"/>
  <c r="AL90" i="1"/>
  <c r="AJ90" i="1"/>
  <c r="AI90" i="1"/>
  <c r="AG90" i="1"/>
  <c r="AD90" i="1"/>
  <c r="AA90" i="1"/>
  <c r="Z90" i="1"/>
  <c r="O90" i="1"/>
  <c r="J90" i="1"/>
  <c r="F90" i="1"/>
  <c r="E90" i="1"/>
  <c r="AV89" i="1"/>
  <c r="AQ89" i="1"/>
  <c r="AN89" i="1"/>
  <c r="AN90" i="1" s="1"/>
  <c r="AL89" i="1"/>
  <c r="AJ89" i="1"/>
  <c r="AI89" i="1"/>
  <c r="AG89" i="1"/>
  <c r="AD89" i="1"/>
  <c r="AA89" i="1"/>
  <c r="Z89" i="1"/>
  <c r="Q89" i="1"/>
  <c r="N89" i="1"/>
  <c r="P89" i="1" s="1"/>
  <c r="J89" i="1"/>
  <c r="F89" i="1"/>
  <c r="E89" i="1"/>
  <c r="AN88" i="1"/>
  <c r="AL88" i="1"/>
  <c r="AJ88" i="1"/>
  <c r="AI88" i="1"/>
  <c r="AG88" i="1"/>
  <c r="AC88" i="1"/>
  <c r="AD88" i="1" s="1"/>
  <c r="AA88" i="1"/>
  <c r="Z88" i="1"/>
  <c r="O88" i="1"/>
  <c r="Q88" i="1" s="1"/>
  <c r="I88" i="1"/>
  <c r="J88" i="1" s="1"/>
  <c r="AQ87" i="1"/>
  <c r="AP87" i="1"/>
  <c r="AP88" i="1" s="1"/>
  <c r="AQ88" i="1" s="1"/>
  <c r="AL87" i="1"/>
  <c r="AI87" i="1"/>
  <c r="AG87" i="1"/>
  <c r="AJ87" i="1" s="1"/>
  <c r="AD87" i="1"/>
  <c r="AA87" i="1"/>
  <c r="Z87" i="1"/>
  <c r="Q87" i="1"/>
  <c r="O87" i="1"/>
  <c r="J87" i="1"/>
  <c r="E87" i="1"/>
  <c r="F87" i="1" s="1"/>
  <c r="AV86" i="1"/>
  <c r="AQ86" i="1"/>
  <c r="AN86" i="1"/>
  <c r="AN87" i="1" s="1"/>
  <c r="AL86" i="1"/>
  <c r="AI86" i="1"/>
  <c r="AG86" i="1"/>
  <c r="AD86" i="1"/>
  <c r="AJ86" i="1" s="1"/>
  <c r="AA86" i="1"/>
  <c r="Z86" i="1"/>
  <c r="Q86" i="1"/>
  <c r="N86" i="1"/>
  <c r="P86" i="1" s="1"/>
  <c r="J86" i="1"/>
  <c r="E86" i="1"/>
  <c r="F86" i="1" s="1"/>
  <c r="AP85" i="1"/>
  <c r="AQ85" i="1" s="1"/>
  <c r="AN85" i="1"/>
  <c r="AG85" i="1"/>
  <c r="AD85" i="1"/>
  <c r="AJ85" i="1" s="1"/>
  <c r="AC85" i="1"/>
  <c r="AA85" i="1"/>
  <c r="Z85" i="1"/>
  <c r="I85" i="1"/>
  <c r="E85" i="1" s="1"/>
  <c r="F85" i="1" s="1"/>
  <c r="AP84" i="1"/>
  <c r="AQ84" i="1" s="1"/>
  <c r="AL84" i="1"/>
  <c r="AI84" i="1"/>
  <c r="AG84" i="1"/>
  <c r="AJ84" i="1" s="1"/>
  <c r="AD84" i="1"/>
  <c r="AA84" i="1"/>
  <c r="Z84" i="1"/>
  <c r="O84" i="1"/>
  <c r="J84" i="1"/>
  <c r="F84" i="1"/>
  <c r="E84" i="1"/>
  <c r="AV83" i="1"/>
  <c r="AQ83" i="1"/>
  <c r="AN83" i="1"/>
  <c r="AN84" i="1" s="1"/>
  <c r="AL83" i="1"/>
  <c r="AJ83" i="1"/>
  <c r="AI83" i="1"/>
  <c r="AG83" i="1"/>
  <c r="AD83" i="1"/>
  <c r="AA83" i="1"/>
  <c r="Z83" i="1"/>
  <c r="Q83" i="1"/>
  <c r="P83" i="1"/>
  <c r="N83" i="1"/>
  <c r="N84" i="1" s="1"/>
  <c r="J83" i="1"/>
  <c r="F83" i="1"/>
  <c r="E83" i="1"/>
  <c r="AN82" i="1"/>
  <c r="AL82" i="1"/>
  <c r="AI82" i="1"/>
  <c r="AG82" i="1"/>
  <c r="AJ82" i="1" s="1"/>
  <c r="AC82" i="1"/>
  <c r="AD82" i="1" s="1"/>
  <c r="AA82" i="1"/>
  <c r="Z82" i="1"/>
  <c r="Q82" i="1"/>
  <c r="O82" i="1"/>
  <c r="I82" i="1"/>
  <c r="J82" i="1" s="1"/>
  <c r="AQ81" i="1"/>
  <c r="AP81" i="1"/>
  <c r="AP82" i="1" s="1"/>
  <c r="AQ82" i="1" s="1"/>
  <c r="AL81" i="1"/>
  <c r="AI81" i="1"/>
  <c r="AG81" i="1"/>
  <c r="AJ81" i="1" s="1"/>
  <c r="AD81" i="1"/>
  <c r="AA81" i="1"/>
  <c r="Z81" i="1"/>
  <c r="Q81" i="1"/>
  <c r="O81" i="1"/>
  <c r="J81" i="1"/>
  <c r="E81" i="1"/>
  <c r="F81" i="1" s="1"/>
  <c r="AV80" i="1"/>
  <c r="AQ80" i="1"/>
  <c r="AN80" i="1"/>
  <c r="AN81" i="1" s="1"/>
  <c r="AL80" i="1"/>
  <c r="AI80" i="1"/>
  <c r="AG80" i="1"/>
  <c r="AD80" i="1"/>
  <c r="AJ80" i="1" s="1"/>
  <c r="AA80" i="1"/>
  <c r="Z80" i="1"/>
  <c r="Q80" i="1"/>
  <c r="N80" i="1"/>
  <c r="P80" i="1" s="1"/>
  <c r="J80" i="1"/>
  <c r="E80" i="1"/>
  <c r="F80" i="1" s="1"/>
  <c r="AP79" i="1"/>
  <c r="AQ79" i="1" s="1"/>
  <c r="AN79" i="1"/>
  <c r="AG79" i="1"/>
  <c r="AD79" i="1"/>
  <c r="AJ79" i="1" s="1"/>
  <c r="AC79" i="1"/>
  <c r="AA79" i="1"/>
  <c r="Z79" i="1"/>
  <c r="I79" i="1"/>
  <c r="E79" i="1" s="1"/>
  <c r="F79" i="1" s="1"/>
  <c r="AP78" i="1"/>
  <c r="AQ78" i="1" s="1"/>
  <c r="AL78" i="1"/>
  <c r="AI78" i="1"/>
  <c r="AG78" i="1"/>
  <c r="AJ78" i="1" s="1"/>
  <c r="AD78" i="1"/>
  <c r="AA78" i="1"/>
  <c r="Z78" i="1"/>
  <c r="O78" i="1"/>
  <c r="J78" i="1"/>
  <c r="F78" i="1"/>
  <c r="E78" i="1"/>
  <c r="AV77" i="1"/>
  <c r="AQ77" i="1"/>
  <c r="AN77" i="1"/>
  <c r="AN78" i="1" s="1"/>
  <c r="AL77" i="1"/>
  <c r="AJ77" i="1"/>
  <c r="AI77" i="1"/>
  <c r="AG77" i="1"/>
  <c r="AD77" i="1"/>
  <c r="AA77" i="1"/>
  <c r="Z77" i="1"/>
  <c r="Q77" i="1"/>
  <c r="P77" i="1"/>
  <c r="N77" i="1"/>
  <c r="N78" i="1" s="1"/>
  <c r="J77" i="1"/>
  <c r="F77" i="1"/>
  <c r="E77" i="1"/>
  <c r="AQ76" i="1"/>
  <c r="AL76" i="1"/>
  <c r="AJ76" i="1"/>
  <c r="AI76" i="1"/>
  <c r="AG76" i="1"/>
  <c r="AF76" i="1"/>
  <c r="AN76" i="1" s="1"/>
  <c r="AD76" i="1"/>
  <c r="AC76" i="1"/>
  <c r="AA76" i="1"/>
  <c r="Z76" i="1"/>
  <c r="Q76" i="1"/>
  <c r="O76" i="1"/>
  <c r="I76" i="1"/>
  <c r="E76" i="1" s="1"/>
  <c r="F76" i="1" s="1"/>
  <c r="AQ75" i="1"/>
  <c r="AP75" i="1"/>
  <c r="AP76" i="1" s="1"/>
  <c r="AN75" i="1"/>
  <c r="AL75" i="1"/>
  <c r="AI75" i="1"/>
  <c r="AG75" i="1"/>
  <c r="AJ75" i="1" s="1"/>
  <c r="AD75" i="1"/>
  <c r="AA75" i="1"/>
  <c r="Z75" i="1"/>
  <c r="Q75" i="1"/>
  <c r="O75" i="1"/>
  <c r="J75" i="1"/>
  <c r="E75" i="1"/>
  <c r="F75" i="1" s="1"/>
  <c r="AT74" i="1"/>
  <c r="AQ74" i="1"/>
  <c r="AP74" i="1"/>
  <c r="AN74" i="1"/>
  <c r="AL74" i="1"/>
  <c r="AJ74" i="1"/>
  <c r="AI74" i="1"/>
  <c r="AG74" i="1"/>
  <c r="AD74" i="1"/>
  <c r="AA74" i="1"/>
  <c r="Z74" i="1"/>
  <c r="Q74" i="1"/>
  <c r="N74" i="1"/>
  <c r="N75" i="1" s="1"/>
  <c r="J74" i="1"/>
  <c r="F74" i="1"/>
  <c r="E74" i="1"/>
  <c r="AL73" i="1"/>
  <c r="AJ73" i="1"/>
  <c r="AG73" i="1"/>
  <c r="AF73" i="1"/>
  <c r="AI73" i="1" s="1"/>
  <c r="AD73" i="1"/>
  <c r="AC73" i="1"/>
  <c r="AA73" i="1"/>
  <c r="Z73" i="1"/>
  <c r="Q73" i="1"/>
  <c r="O73" i="1"/>
  <c r="J73" i="1"/>
  <c r="I73" i="1"/>
  <c r="E73" i="1"/>
  <c r="F73" i="1" s="1"/>
  <c r="AQ72" i="1"/>
  <c r="AP72" i="1"/>
  <c r="AP73" i="1" s="1"/>
  <c r="AQ73" i="1" s="1"/>
  <c r="AN72" i="1"/>
  <c r="AL72" i="1"/>
  <c r="AI72" i="1"/>
  <c r="AG72" i="1"/>
  <c r="AD72" i="1"/>
  <c r="AJ72" i="1" s="1"/>
  <c r="AA72" i="1"/>
  <c r="Z72" i="1"/>
  <c r="Q72" i="1"/>
  <c r="O72" i="1"/>
  <c r="J72" i="1"/>
  <c r="E72" i="1"/>
  <c r="F72" i="1" s="1"/>
  <c r="AT71" i="1"/>
  <c r="AQ71" i="1"/>
  <c r="AP71" i="1"/>
  <c r="AN71" i="1"/>
  <c r="AL71" i="1"/>
  <c r="AI71" i="1"/>
  <c r="AG71" i="1"/>
  <c r="AJ71" i="1" s="1"/>
  <c r="AD71" i="1"/>
  <c r="AA71" i="1"/>
  <c r="Z71" i="1"/>
  <c r="Q71" i="1"/>
  <c r="N71" i="1"/>
  <c r="N72" i="1" s="1"/>
  <c r="J71" i="1"/>
  <c r="F71" i="1"/>
  <c r="E71" i="1"/>
  <c r="AI70" i="1"/>
  <c r="AG70" i="1"/>
  <c r="AJ70" i="1" s="1"/>
  <c r="AF70" i="1"/>
  <c r="AN70" i="1" s="1"/>
  <c r="AD70" i="1"/>
  <c r="AC70" i="1"/>
  <c r="AL70" i="1" s="1"/>
  <c r="AA70" i="1"/>
  <c r="Z70" i="1"/>
  <c r="O70" i="1"/>
  <c r="Q70" i="1" s="1"/>
  <c r="J70" i="1"/>
  <c r="I70" i="1"/>
  <c r="E70" i="1" s="1"/>
  <c r="F70" i="1" s="1"/>
  <c r="AP69" i="1"/>
  <c r="AP70" i="1" s="1"/>
  <c r="AQ70" i="1" s="1"/>
  <c r="AN69" i="1"/>
  <c r="AL69" i="1"/>
  <c r="AJ69" i="1"/>
  <c r="AI69" i="1"/>
  <c r="AG69" i="1"/>
  <c r="AD69" i="1"/>
  <c r="AA69" i="1"/>
  <c r="Z69" i="1"/>
  <c r="Q69" i="1"/>
  <c r="O69" i="1"/>
  <c r="N69" i="1"/>
  <c r="N70" i="1" s="1"/>
  <c r="P70" i="1" s="1"/>
  <c r="J69" i="1"/>
  <c r="E69" i="1"/>
  <c r="F69" i="1" s="1"/>
  <c r="AT68" i="1"/>
  <c r="AQ68" i="1"/>
  <c r="AP68" i="1"/>
  <c r="AN68" i="1"/>
  <c r="AL68" i="1"/>
  <c r="AI68" i="1"/>
  <c r="AG68" i="1"/>
  <c r="AD68" i="1"/>
  <c r="AJ68" i="1" s="1"/>
  <c r="AA68" i="1"/>
  <c r="Z68" i="1"/>
  <c r="Q68" i="1"/>
  <c r="P68" i="1"/>
  <c r="N68" i="1"/>
  <c r="J68" i="1"/>
  <c r="E68" i="1"/>
  <c r="F68" i="1" s="1"/>
  <c r="AQ67" i="1"/>
  <c r="AP67" i="1"/>
  <c r="AF67" i="1"/>
  <c r="AN67" i="1" s="1"/>
  <c r="AD67" i="1"/>
  <c r="AC67" i="1"/>
  <c r="AA67" i="1"/>
  <c r="Z67" i="1"/>
  <c r="J67" i="1"/>
  <c r="I67" i="1"/>
  <c r="F67" i="1"/>
  <c r="E67" i="1"/>
  <c r="AQ66" i="1"/>
  <c r="AP66" i="1"/>
  <c r="AL66" i="1"/>
  <c r="AJ66" i="1"/>
  <c r="AI66" i="1"/>
  <c r="AG66" i="1"/>
  <c r="AD66" i="1"/>
  <c r="AA66" i="1"/>
  <c r="Z66" i="1"/>
  <c r="O66" i="1"/>
  <c r="O67" i="1" s="1"/>
  <c r="Q67" i="1" s="1"/>
  <c r="J66" i="1"/>
  <c r="F66" i="1"/>
  <c r="E66" i="1"/>
  <c r="AT65" i="1"/>
  <c r="AP65" i="1"/>
  <c r="AQ65" i="1" s="1"/>
  <c r="AN65" i="1"/>
  <c r="AN66" i="1" s="1"/>
  <c r="AL65" i="1"/>
  <c r="AJ65" i="1"/>
  <c r="AI65" i="1"/>
  <c r="AG65" i="1"/>
  <c r="AD65" i="1"/>
  <c r="AA65" i="1"/>
  <c r="Z65" i="1"/>
  <c r="Q65" i="1"/>
  <c r="N65" i="1"/>
  <c r="N66" i="1" s="1"/>
  <c r="J65" i="1"/>
  <c r="F65" i="1"/>
  <c r="E65" i="1"/>
  <c r="AP64" i="1"/>
  <c r="AQ64" i="1" s="1"/>
  <c r="AN64" i="1"/>
  <c r="AG64" i="1"/>
  <c r="AF64" i="1"/>
  <c r="AC64" i="1"/>
  <c r="AL64" i="1" s="1"/>
  <c r="AA64" i="1"/>
  <c r="Z64" i="1"/>
  <c r="Q64" i="1"/>
  <c r="O64" i="1"/>
  <c r="I64" i="1"/>
  <c r="E64" i="1" s="1"/>
  <c r="F64" i="1" s="1"/>
  <c r="AQ63" i="1"/>
  <c r="AP63" i="1"/>
  <c r="AL63" i="1"/>
  <c r="AI63" i="1"/>
  <c r="AG63" i="1"/>
  <c r="AJ63" i="1" s="1"/>
  <c r="AD63" i="1"/>
  <c r="AA63" i="1"/>
  <c r="Z63" i="1"/>
  <c r="Q63" i="1"/>
  <c r="O63" i="1"/>
  <c r="N63" i="1"/>
  <c r="N64" i="1" s="1"/>
  <c r="P64" i="1" s="1"/>
  <c r="J63" i="1"/>
  <c r="E63" i="1"/>
  <c r="F63" i="1" s="1"/>
  <c r="AQ62" i="1"/>
  <c r="AP62" i="1"/>
  <c r="AL62" i="1"/>
  <c r="AJ62" i="1"/>
  <c r="AG62" i="1"/>
  <c r="AF62" i="1"/>
  <c r="AI62" i="1" s="1"/>
  <c r="AD62" i="1"/>
  <c r="AA62" i="1"/>
  <c r="Z62" i="1"/>
  <c r="Q62" i="1"/>
  <c r="P62" i="1"/>
  <c r="N62" i="1"/>
  <c r="J62" i="1"/>
  <c r="F62" i="1"/>
  <c r="E62" i="1"/>
  <c r="AN61" i="1"/>
  <c r="AL61" i="1"/>
  <c r="AI61" i="1"/>
  <c r="AG61" i="1"/>
  <c r="AJ61" i="1" s="1"/>
  <c r="AF61" i="1"/>
  <c r="AC61" i="1"/>
  <c r="AD61" i="1" s="1"/>
  <c r="AA61" i="1"/>
  <c r="Z61" i="1"/>
  <c r="O61" i="1"/>
  <c r="Q61" i="1" s="1"/>
  <c r="I61" i="1"/>
  <c r="J61" i="1" s="1"/>
  <c r="E61" i="1"/>
  <c r="F61" i="1" s="1"/>
  <c r="AP60" i="1"/>
  <c r="AQ60" i="1" s="1"/>
  <c r="AN60" i="1"/>
  <c r="AL60" i="1"/>
  <c r="AI60" i="1"/>
  <c r="AG60" i="1"/>
  <c r="AJ60" i="1" s="1"/>
  <c r="AD60" i="1"/>
  <c r="AA60" i="1"/>
  <c r="Z60" i="1"/>
  <c r="Q60" i="1"/>
  <c r="O60" i="1"/>
  <c r="J60" i="1"/>
  <c r="F60" i="1"/>
  <c r="E60" i="1"/>
  <c r="AT59" i="1"/>
  <c r="AQ59" i="1"/>
  <c r="AP59" i="1"/>
  <c r="AN59" i="1"/>
  <c r="AL59" i="1"/>
  <c r="AJ59" i="1"/>
  <c r="AI59" i="1"/>
  <c r="AG59" i="1"/>
  <c r="AD59" i="1"/>
  <c r="AA59" i="1"/>
  <c r="Z59" i="1"/>
  <c r="Q59" i="1"/>
  <c r="N59" i="1"/>
  <c r="N60" i="1" s="1"/>
  <c r="J59" i="1"/>
  <c r="E59" i="1"/>
  <c r="F59" i="1" s="1"/>
  <c r="AI58" i="1"/>
  <c r="AF58" i="1"/>
  <c r="AG58" i="1" s="1"/>
  <c r="AJ58" i="1" s="1"/>
  <c r="AD58" i="1"/>
  <c r="AC58" i="1"/>
  <c r="AL58" i="1" s="1"/>
  <c r="AA58" i="1"/>
  <c r="Z58" i="1"/>
  <c r="P58" i="1"/>
  <c r="N58" i="1"/>
  <c r="J58" i="1"/>
  <c r="I58" i="1"/>
  <c r="E58" i="1" s="1"/>
  <c r="F58" i="1" s="1"/>
  <c r="AP57" i="1"/>
  <c r="AQ57" i="1" s="1"/>
  <c r="AL57" i="1"/>
  <c r="AJ57" i="1"/>
  <c r="AI57" i="1"/>
  <c r="AG57" i="1"/>
  <c r="AD57" i="1"/>
  <c r="AA57" i="1"/>
  <c r="Z57" i="1"/>
  <c r="P57" i="1"/>
  <c r="O57" i="1"/>
  <c r="O58" i="1" s="1"/>
  <c r="Q58" i="1" s="1"/>
  <c r="N57" i="1"/>
  <c r="J57" i="1"/>
  <c r="E57" i="1"/>
  <c r="F57" i="1" s="1"/>
  <c r="AT56" i="1"/>
  <c r="AP56" i="1"/>
  <c r="AQ56" i="1" s="1"/>
  <c r="AN56" i="1"/>
  <c r="AN57" i="1" s="1"/>
  <c r="AL56" i="1"/>
  <c r="AI56" i="1"/>
  <c r="AG56" i="1"/>
  <c r="AJ56" i="1" s="1"/>
  <c r="AD56" i="1"/>
  <c r="AA56" i="1"/>
  <c r="Z56" i="1"/>
  <c r="Q56" i="1"/>
  <c r="P56" i="1"/>
  <c r="N56" i="1"/>
  <c r="J56" i="1"/>
  <c r="E56" i="1"/>
  <c r="F56" i="1" s="1"/>
  <c r="AP55" i="1"/>
  <c r="AQ55" i="1" s="1"/>
  <c r="AF55" i="1"/>
  <c r="AN55" i="1" s="1"/>
  <c r="AC55" i="1"/>
  <c r="AD55" i="1" s="1"/>
  <c r="AA55" i="1"/>
  <c r="Z55" i="1"/>
  <c r="O55" i="1"/>
  <c r="Q55" i="1" s="1"/>
  <c r="N55" i="1"/>
  <c r="P55" i="1" s="1"/>
  <c r="I55" i="1"/>
  <c r="J55" i="1" s="1"/>
  <c r="AP54" i="1"/>
  <c r="AQ54" i="1" s="1"/>
  <c r="AN54" i="1"/>
  <c r="AL54" i="1"/>
  <c r="AI54" i="1"/>
  <c r="AG54" i="1"/>
  <c r="AJ54" i="1" s="1"/>
  <c r="AD54" i="1"/>
  <c r="AA54" i="1"/>
  <c r="Z54" i="1"/>
  <c r="Q54" i="1"/>
  <c r="P54" i="1"/>
  <c r="O54" i="1"/>
  <c r="N54" i="1"/>
  <c r="J54" i="1"/>
  <c r="F54" i="1"/>
  <c r="E54" i="1"/>
  <c r="AP53" i="1"/>
  <c r="AQ53" i="1" s="1"/>
  <c r="AN53" i="1"/>
  <c r="AL53" i="1"/>
  <c r="AI53" i="1"/>
  <c r="AF53" i="1"/>
  <c r="AG53" i="1" s="1"/>
  <c r="AJ53" i="1" s="1"/>
  <c r="AD53" i="1"/>
  <c r="AA53" i="1"/>
  <c r="Z53" i="1"/>
  <c r="Q53" i="1"/>
  <c r="P53" i="1"/>
  <c r="N53" i="1"/>
  <c r="J53" i="1"/>
  <c r="E53" i="1"/>
  <c r="F53" i="1" s="1"/>
  <c r="AQ52" i="1"/>
  <c r="AP52" i="1"/>
  <c r="AF52" i="1"/>
  <c r="AN52" i="1" s="1"/>
  <c r="AD52" i="1"/>
  <c r="AC52" i="1"/>
  <c r="AA52" i="1"/>
  <c r="Z52" i="1"/>
  <c r="J52" i="1"/>
  <c r="I52" i="1"/>
  <c r="F52" i="1"/>
  <c r="E52" i="1"/>
  <c r="AQ51" i="1"/>
  <c r="AP51" i="1"/>
  <c r="AL51" i="1"/>
  <c r="AJ51" i="1"/>
  <c r="AI51" i="1"/>
  <c r="AG51" i="1"/>
  <c r="AD51" i="1"/>
  <c r="AA51" i="1"/>
  <c r="Z51" i="1"/>
  <c r="O51" i="1"/>
  <c r="O52" i="1" s="1"/>
  <c r="Q52" i="1" s="1"/>
  <c r="J51" i="1"/>
  <c r="F51" i="1"/>
  <c r="E51" i="1"/>
  <c r="AT50" i="1"/>
  <c r="AP50" i="1"/>
  <c r="AQ50" i="1" s="1"/>
  <c r="AN50" i="1"/>
  <c r="AL50" i="1"/>
  <c r="AJ50" i="1"/>
  <c r="AI50" i="1"/>
  <c r="AG50" i="1"/>
  <c r="AD50" i="1"/>
  <c r="AA50" i="1"/>
  <c r="Z50" i="1"/>
  <c r="Q50" i="1"/>
  <c r="N50" i="1"/>
  <c r="N51" i="1" s="1"/>
  <c r="J50" i="1"/>
  <c r="F50" i="1"/>
  <c r="E50" i="1"/>
  <c r="AP49" i="1"/>
  <c r="AQ49" i="1" s="1"/>
  <c r="AN49" i="1"/>
  <c r="AG49" i="1"/>
  <c r="AF49" i="1"/>
  <c r="AC49" i="1"/>
  <c r="AL49" i="1" s="1"/>
  <c r="AA49" i="1"/>
  <c r="Z49" i="1"/>
  <c r="Q49" i="1"/>
  <c r="O49" i="1"/>
  <c r="I49" i="1"/>
  <c r="E49" i="1" s="1"/>
  <c r="F49" i="1" s="1"/>
  <c r="AQ48" i="1"/>
  <c r="AP48" i="1"/>
  <c r="AN48" i="1"/>
  <c r="AL48" i="1"/>
  <c r="AI48" i="1"/>
  <c r="AG48" i="1"/>
  <c r="AJ48" i="1" s="1"/>
  <c r="AD48" i="1"/>
  <c r="AA48" i="1"/>
  <c r="Z48" i="1"/>
  <c r="Q48" i="1"/>
  <c r="O48" i="1"/>
  <c r="J48" i="1"/>
  <c r="E48" i="1"/>
  <c r="F48" i="1" s="1"/>
  <c r="AT47" i="1"/>
  <c r="AQ47" i="1"/>
  <c r="AP47" i="1"/>
  <c r="AN47" i="1"/>
  <c r="AL47" i="1"/>
  <c r="AJ47" i="1"/>
  <c r="AI47" i="1"/>
  <c r="AG47" i="1"/>
  <c r="AD47" i="1"/>
  <c r="AA47" i="1"/>
  <c r="Z47" i="1"/>
  <c r="Q47" i="1"/>
  <c r="N47" i="1"/>
  <c r="P47" i="1" s="1"/>
  <c r="J47" i="1"/>
  <c r="F47" i="1"/>
  <c r="E47" i="1"/>
  <c r="AL46" i="1"/>
  <c r="AJ46" i="1"/>
  <c r="AG46" i="1"/>
  <c r="AF46" i="1"/>
  <c r="AI46" i="1" s="1"/>
  <c r="AD46" i="1"/>
  <c r="AC46" i="1"/>
  <c r="AA46" i="1"/>
  <c r="Z46" i="1"/>
  <c r="Q46" i="1"/>
  <c r="O46" i="1"/>
  <c r="J46" i="1"/>
  <c r="I46" i="1"/>
  <c r="E46" i="1"/>
  <c r="F46" i="1" s="1"/>
  <c r="AQ45" i="1"/>
  <c r="AP45" i="1"/>
  <c r="AP46" i="1" s="1"/>
  <c r="AN45" i="1"/>
  <c r="AL45" i="1"/>
  <c r="AI45" i="1"/>
  <c r="AG45" i="1"/>
  <c r="AD45" i="1"/>
  <c r="AJ45" i="1" s="1"/>
  <c r="AA45" i="1"/>
  <c r="Z45" i="1"/>
  <c r="Q45" i="1"/>
  <c r="O45" i="1"/>
  <c r="J45" i="1"/>
  <c r="E45" i="1"/>
  <c r="F45" i="1" s="1"/>
  <c r="BF44" i="1"/>
  <c r="AT44" i="1"/>
  <c r="AQ44" i="1"/>
  <c r="AP44" i="1"/>
  <c r="AN44" i="1"/>
  <c r="AL44" i="1"/>
  <c r="AJ44" i="1"/>
  <c r="AI44" i="1"/>
  <c r="AI41" i="1" s="1"/>
  <c r="AG44" i="1"/>
  <c r="AD44" i="1"/>
  <c r="AA44" i="1"/>
  <c r="Z44" i="1"/>
  <c r="Q44" i="1"/>
  <c r="N44" i="1"/>
  <c r="N45" i="1" s="1"/>
  <c r="J44" i="1"/>
  <c r="E44" i="1"/>
  <c r="F44" i="1" s="1"/>
  <c r="AA43" i="1"/>
  <c r="Z43" i="1"/>
  <c r="AO42" i="1"/>
  <c r="AF42" i="1"/>
  <c r="AF24" i="1" s="1"/>
  <c r="AD42" i="1"/>
  <c r="AD24" i="1" s="1"/>
  <c r="AC42" i="1"/>
  <c r="AA42" i="1"/>
  <c r="Z42" i="1"/>
  <c r="AF41" i="1"/>
  <c r="AF23" i="1" s="1"/>
  <c r="AC41" i="1"/>
  <c r="AD41" i="1" s="1"/>
  <c r="AA41" i="1"/>
  <c r="Z41" i="1"/>
  <c r="Z23" i="1" s="1"/>
  <c r="S41" i="1"/>
  <c r="Q41" i="1"/>
  <c r="O41" i="1"/>
  <c r="N41" i="1" s="1"/>
  <c r="I41" i="1"/>
  <c r="I42" i="1" s="1"/>
  <c r="AL40" i="1"/>
  <c r="AI40" i="1"/>
  <c r="AG40" i="1"/>
  <c r="AJ40" i="1" s="1"/>
  <c r="AD40" i="1"/>
  <c r="AA40" i="1"/>
  <c r="Z40" i="1"/>
  <c r="AP39" i="1"/>
  <c r="AQ39" i="1" s="1"/>
  <c r="AL39" i="1"/>
  <c r="AJ39" i="1"/>
  <c r="AI39" i="1"/>
  <c r="AG39" i="1"/>
  <c r="AD39" i="1"/>
  <c r="AA39" i="1"/>
  <c r="Z39" i="1"/>
  <c r="Q39" i="1"/>
  <c r="O39" i="1"/>
  <c r="O40" i="1" s="1"/>
  <c r="Q40" i="1" s="1"/>
  <c r="N39" i="1"/>
  <c r="P39" i="1" s="1"/>
  <c r="AQ38" i="1"/>
  <c r="AL38" i="1"/>
  <c r="AI38" i="1"/>
  <c r="AG38" i="1"/>
  <c r="AJ38" i="1" s="1"/>
  <c r="AD38" i="1"/>
  <c r="AA38" i="1"/>
  <c r="Z38" i="1"/>
  <c r="Q38" i="1"/>
  <c r="N38" i="1"/>
  <c r="P38" i="1" s="1"/>
  <c r="AP37" i="1"/>
  <c r="AQ37" i="1" s="1"/>
  <c r="AL37" i="1"/>
  <c r="AJ37" i="1"/>
  <c r="AI37" i="1"/>
  <c r="AG37" i="1"/>
  <c r="AD37" i="1"/>
  <c r="AA37" i="1"/>
  <c r="Z37" i="1"/>
  <c r="AQ36" i="1"/>
  <c r="AP36" i="1"/>
  <c r="AL36" i="1"/>
  <c r="AJ36" i="1"/>
  <c r="AI36" i="1"/>
  <c r="AG36" i="1"/>
  <c r="AD36" i="1"/>
  <c r="AA36" i="1"/>
  <c r="Z36" i="1"/>
  <c r="O36" i="1"/>
  <c r="O37" i="1" s="1"/>
  <c r="Q37" i="1" s="1"/>
  <c r="N36" i="1"/>
  <c r="N37" i="1" s="1"/>
  <c r="P37" i="1" s="1"/>
  <c r="AQ35" i="1"/>
  <c r="AL35" i="1"/>
  <c r="AJ35" i="1"/>
  <c r="AI35" i="1"/>
  <c r="AG35" i="1"/>
  <c r="AD35" i="1"/>
  <c r="AA35" i="1"/>
  <c r="Z35" i="1"/>
  <c r="Q35" i="1"/>
  <c r="P35" i="1"/>
  <c r="N35" i="1"/>
  <c r="AL34" i="1"/>
  <c r="AJ34" i="1"/>
  <c r="AI34" i="1"/>
  <c r="AG34" i="1"/>
  <c r="AD34" i="1"/>
  <c r="AA34" i="1"/>
  <c r="Z34" i="1"/>
  <c r="O34" i="1"/>
  <c r="Q34" i="1" s="1"/>
  <c r="AP33" i="1"/>
  <c r="AQ33" i="1" s="1"/>
  <c r="AL33" i="1"/>
  <c r="AI33" i="1"/>
  <c r="AG33" i="1"/>
  <c r="AD33" i="1"/>
  <c r="AJ33" i="1" s="1"/>
  <c r="AA33" i="1"/>
  <c r="Z33" i="1"/>
  <c r="Q33" i="1"/>
  <c r="O33" i="1"/>
  <c r="AQ32" i="1"/>
  <c r="AL32" i="1"/>
  <c r="AJ32" i="1"/>
  <c r="AI32" i="1"/>
  <c r="AG32" i="1"/>
  <c r="AD32" i="1"/>
  <c r="AA32" i="1"/>
  <c r="Z32" i="1"/>
  <c r="Q32" i="1"/>
  <c r="N32" i="1"/>
  <c r="P32" i="1" s="1"/>
  <c r="AL31" i="1"/>
  <c r="AI31" i="1"/>
  <c r="AG31" i="1"/>
  <c r="AD31" i="1"/>
  <c r="AJ31" i="1" s="1"/>
  <c r="AA31" i="1"/>
  <c r="Z31" i="1"/>
  <c r="AP30" i="1"/>
  <c r="AP31" i="1" s="1"/>
  <c r="AQ31" i="1" s="1"/>
  <c r="AL30" i="1"/>
  <c r="AI30" i="1"/>
  <c r="AG30" i="1"/>
  <c r="AJ30" i="1" s="1"/>
  <c r="AD30" i="1"/>
  <c r="AA30" i="1"/>
  <c r="Z30" i="1"/>
  <c r="Q30" i="1"/>
  <c r="P30" i="1"/>
  <c r="O30" i="1"/>
  <c r="O31" i="1" s="1"/>
  <c r="Q31" i="1" s="1"/>
  <c r="N30" i="1"/>
  <c r="N31" i="1" s="1"/>
  <c r="P31" i="1" s="1"/>
  <c r="AQ29" i="1"/>
  <c r="AL29" i="1"/>
  <c r="AI29" i="1"/>
  <c r="AG29" i="1"/>
  <c r="AJ29" i="1" s="1"/>
  <c r="AD29" i="1"/>
  <c r="AA29" i="1"/>
  <c r="Z29" i="1"/>
  <c r="Q29" i="1"/>
  <c r="P29" i="1"/>
  <c r="N29" i="1"/>
  <c r="AP28" i="1"/>
  <c r="AL28" i="1"/>
  <c r="AI28" i="1"/>
  <c r="AG28" i="1"/>
  <c r="AJ28" i="1" s="1"/>
  <c r="AD28" i="1"/>
  <c r="AC28" i="1"/>
  <c r="AA28" i="1"/>
  <c r="Z28" i="1"/>
  <c r="Q28" i="1"/>
  <c r="O28" i="1"/>
  <c r="J28" i="1"/>
  <c r="I28" i="1"/>
  <c r="E28" i="1"/>
  <c r="AQ27" i="1"/>
  <c r="AP27" i="1"/>
  <c r="AL27" i="1"/>
  <c r="AJ27" i="1"/>
  <c r="AI27" i="1"/>
  <c r="AG27" i="1"/>
  <c r="AD27" i="1"/>
  <c r="AA27" i="1"/>
  <c r="AA24" i="1" s="1"/>
  <c r="Z27" i="1"/>
  <c r="Z24" i="1" s="1"/>
  <c r="O27" i="1"/>
  <c r="Q27" i="1" s="1"/>
  <c r="J27" i="1"/>
  <c r="E27" i="1"/>
  <c r="BF26" i="1"/>
  <c r="AP26" i="1"/>
  <c r="AQ26" i="1" s="1"/>
  <c r="AL26" i="1"/>
  <c r="AI26" i="1"/>
  <c r="AG26" i="1"/>
  <c r="AD26" i="1"/>
  <c r="AD23" i="1" s="1"/>
  <c r="AA26" i="1"/>
  <c r="AA23" i="1" s="1"/>
  <c r="Z26" i="1"/>
  <c r="Q26" i="1"/>
  <c r="Q23" i="1" s="1"/>
  <c r="P26" i="1"/>
  <c r="N26" i="1"/>
  <c r="N27" i="1" s="1"/>
  <c r="J26" i="1"/>
  <c r="E26" i="1"/>
  <c r="F26" i="1" s="1"/>
  <c r="BK25" i="1"/>
  <c r="BK24" i="1" s="1"/>
  <c r="BJ25" i="1"/>
  <c r="BJ24" i="1" s="1"/>
  <c r="BI25" i="1"/>
  <c r="BH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O25" i="1"/>
  <c r="AM25" i="1"/>
  <c r="AA25" i="1"/>
  <c r="Z25" i="1"/>
  <c r="X25" i="1"/>
  <c r="W25" i="1"/>
  <c r="U25" i="1"/>
  <c r="T25" i="1"/>
  <c r="BI24" i="1"/>
  <c r="BH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O24" i="1"/>
  <c r="AM24" i="1"/>
  <c r="AC24" i="1"/>
  <c r="X24" i="1"/>
  <c r="W24" i="1"/>
  <c r="U24" i="1"/>
  <c r="T24" i="1"/>
  <c r="BK23" i="1"/>
  <c r="BJ23" i="1"/>
  <c r="BI23" i="1"/>
  <c r="BH23" i="1"/>
  <c r="BE23" i="1"/>
  <c r="BD23" i="1"/>
  <c r="BC23" i="1"/>
  <c r="BB23" i="1"/>
  <c r="BA23" i="1"/>
  <c r="AZ23" i="1"/>
  <c r="AY23" i="1"/>
  <c r="AX23" i="1"/>
  <c r="AW23" i="1"/>
  <c r="AV23" i="1"/>
  <c r="AU23" i="1"/>
  <c r="AS23" i="1"/>
  <c r="AR23" i="1"/>
  <c r="AO23" i="1"/>
  <c r="AM23" i="1"/>
  <c r="AC23" i="1"/>
  <c r="X23" i="1"/>
  <c r="W23" i="1"/>
  <c r="U23" i="1"/>
  <c r="T23" i="1"/>
  <c r="O23" i="1"/>
  <c r="AP22" i="1"/>
  <c r="AQ22" i="1" s="1"/>
  <c r="AQ19" i="1" s="1"/>
  <c r="AL22" i="1"/>
  <c r="AI22" i="1"/>
  <c r="AG22" i="1"/>
  <c r="AD22" i="1"/>
  <c r="AJ22" i="1" s="1"/>
  <c r="AJ19" i="1" s="1"/>
  <c r="J22" i="1"/>
  <c r="E22" i="1"/>
  <c r="F22" i="1" s="1"/>
  <c r="F19" i="1" s="1"/>
  <c r="AQ21" i="1"/>
  <c r="AQ18" i="1" s="1"/>
  <c r="AL21" i="1"/>
  <c r="AI21" i="1"/>
  <c r="AG21" i="1"/>
  <c r="AJ21" i="1" s="1"/>
  <c r="AJ18" i="1" s="1"/>
  <c r="AD21" i="1"/>
  <c r="O21" i="1"/>
  <c r="O22" i="1" s="1"/>
  <c r="N21" i="1"/>
  <c r="N22" i="1" s="1"/>
  <c r="J21" i="1"/>
  <c r="F21" i="1"/>
  <c r="E21" i="1"/>
  <c r="AQ20" i="1"/>
  <c r="AL20" i="1"/>
  <c r="AI20" i="1"/>
  <c r="AG20" i="1"/>
  <c r="AJ20" i="1" s="1"/>
  <c r="AJ17" i="1" s="1"/>
  <c r="AD20" i="1"/>
  <c r="Q20" i="1"/>
  <c r="Q17" i="1" s="1"/>
  <c r="P20" i="1"/>
  <c r="N20" i="1"/>
  <c r="J20" i="1"/>
  <c r="E20" i="1"/>
  <c r="E17" i="1" s="1"/>
  <c r="BK19" i="1"/>
  <c r="BK15" i="1" s="1"/>
  <c r="BJ19" i="1"/>
  <c r="BI19" i="1"/>
  <c r="BH19" i="1"/>
  <c r="BH15" i="1" s="1"/>
  <c r="BF19" i="1"/>
  <c r="BE19" i="1"/>
  <c r="BD19" i="1"/>
  <c r="BC19" i="1"/>
  <c r="BC15" i="1" s="1"/>
  <c r="BB19" i="1"/>
  <c r="BB15" i="1" s="1"/>
  <c r="BA19" i="1"/>
  <c r="AZ19" i="1"/>
  <c r="AZ15" i="1" s="1"/>
  <c r="AY19" i="1"/>
  <c r="AX19" i="1"/>
  <c r="AW19" i="1"/>
  <c r="AV19" i="1"/>
  <c r="AU19" i="1"/>
  <c r="AU15" i="1" s="1"/>
  <c r="AT19" i="1"/>
  <c r="AT15" i="1" s="1"/>
  <c r="AS19" i="1"/>
  <c r="AR19" i="1"/>
  <c r="AO19" i="1"/>
  <c r="AN19" i="1"/>
  <c r="AM19" i="1"/>
  <c r="AL19" i="1"/>
  <c r="AI19" i="1"/>
  <c r="AG19" i="1"/>
  <c r="AF19" i="1"/>
  <c r="AC19" i="1"/>
  <c r="AA19" i="1"/>
  <c r="Z19" i="1"/>
  <c r="X19" i="1"/>
  <c r="W19" i="1"/>
  <c r="V19" i="1"/>
  <c r="U19" i="1"/>
  <c r="T19" i="1"/>
  <c r="J19" i="1"/>
  <c r="I19" i="1"/>
  <c r="BK18" i="1"/>
  <c r="BJ18" i="1"/>
  <c r="BI18" i="1"/>
  <c r="BH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P18" i="1"/>
  <c r="AO18" i="1"/>
  <c r="AN18" i="1"/>
  <c r="AM18" i="1"/>
  <c r="AI18" i="1"/>
  <c r="AF18" i="1"/>
  <c r="AD18" i="1"/>
  <c r="AC18" i="1"/>
  <c r="AL18" i="1" s="1"/>
  <c r="AA18" i="1"/>
  <c r="Z18" i="1"/>
  <c r="X18" i="1"/>
  <c r="W18" i="1"/>
  <c r="V18" i="1"/>
  <c r="U18" i="1"/>
  <c r="T18" i="1"/>
  <c r="J18" i="1"/>
  <c r="I18" i="1"/>
  <c r="F18" i="1"/>
  <c r="E18" i="1"/>
  <c r="BK17" i="1"/>
  <c r="BJ17" i="1"/>
  <c r="BJ13" i="1" s="1"/>
  <c r="BJ9" i="1" s="1"/>
  <c r="BI17" i="1"/>
  <c r="BI13" i="1" s="1"/>
  <c r="BI9" i="1" s="1"/>
  <c r="BH17" i="1"/>
  <c r="BF17" i="1"/>
  <c r="BE17" i="1"/>
  <c r="BD17" i="1"/>
  <c r="BC17" i="1"/>
  <c r="BB17" i="1"/>
  <c r="BA17" i="1"/>
  <c r="BA13" i="1" s="1"/>
  <c r="BA9" i="1" s="1"/>
  <c r="AZ17" i="1"/>
  <c r="AZ13" i="1" s="1"/>
  <c r="AZ9" i="1" s="1"/>
  <c r="AY17" i="1"/>
  <c r="AX17" i="1"/>
  <c r="AW17" i="1"/>
  <c r="AV17" i="1"/>
  <c r="AU17" i="1"/>
  <c r="AT17" i="1"/>
  <c r="AS17" i="1"/>
  <c r="BQ17" i="1" s="1"/>
  <c r="AQ17" i="1"/>
  <c r="AP17" i="1"/>
  <c r="AO17" i="1"/>
  <c r="AN17" i="1"/>
  <c r="AM17" i="1"/>
  <c r="AI17" i="1"/>
  <c r="AG17" i="1"/>
  <c r="AF17" i="1"/>
  <c r="AD17" i="1"/>
  <c r="AC17" i="1"/>
  <c r="AL17" i="1" s="1"/>
  <c r="AB17" i="1"/>
  <c r="AA17" i="1"/>
  <c r="Z17" i="1"/>
  <c r="Y17" i="1"/>
  <c r="X17" i="1"/>
  <c r="W17" i="1"/>
  <c r="V17" i="1"/>
  <c r="U17" i="1"/>
  <c r="T17" i="1"/>
  <c r="S17" i="1"/>
  <c r="P17" i="1"/>
  <c r="O17" i="1"/>
  <c r="N17" i="1"/>
  <c r="J17" i="1"/>
  <c r="I17" i="1"/>
  <c r="BK16" i="1"/>
  <c r="BJ16" i="1"/>
  <c r="BJ12" i="1" s="1"/>
  <c r="BI16" i="1"/>
  <c r="BI12" i="1" s="1"/>
  <c r="BH16" i="1"/>
  <c r="BF16" i="1"/>
  <c r="BF12" i="1" s="1"/>
  <c r="BE16" i="1"/>
  <c r="BE12" i="1" s="1"/>
  <c r="BC16" i="1"/>
  <c r="BB16" i="1"/>
  <c r="BA16" i="1"/>
  <c r="BA12" i="1" s="1"/>
  <c r="AZ16" i="1"/>
  <c r="AZ12" i="1" s="1"/>
  <c r="AY16" i="1"/>
  <c r="AX16" i="1"/>
  <c r="AX12" i="1" s="1"/>
  <c r="AW16" i="1"/>
  <c r="AW12" i="1" s="1"/>
  <c r="AU16" i="1"/>
  <c r="AT16" i="1"/>
  <c r="AS16" i="1"/>
  <c r="AS12" i="1" s="1"/>
  <c r="AQ16" i="1"/>
  <c r="AQ12" i="1" s="1"/>
  <c r="AO16" i="1"/>
  <c r="AO12" i="1" s="1"/>
  <c r="AN16" i="1"/>
  <c r="AN12" i="1" s="1"/>
  <c r="AM16" i="1"/>
  <c r="AG16" i="1"/>
  <c r="AG12" i="1" s="1"/>
  <c r="AF16" i="1"/>
  <c r="AC16" i="1"/>
  <c r="AL16" i="1" s="1"/>
  <c r="X16" i="1"/>
  <c r="W16" i="1"/>
  <c r="W12" i="1" s="1"/>
  <c r="J16" i="1"/>
  <c r="I16" i="1"/>
  <c r="I12" i="1" s="1"/>
  <c r="BJ15" i="1"/>
  <c r="BJ11" i="1" s="1"/>
  <c r="BF15" i="1"/>
  <c r="BE15" i="1"/>
  <c r="BE11" i="1" s="1"/>
  <c r="BE10" i="1" s="1"/>
  <c r="BD15" i="1"/>
  <c r="BD11" i="1" s="1"/>
  <c r="BA15" i="1"/>
  <c r="BA11" i="1" s="1"/>
  <c r="BA10" i="1" s="1"/>
  <c r="AW15" i="1"/>
  <c r="AW11" i="1" s="1"/>
  <c r="AV15" i="1"/>
  <c r="AV11" i="1" s="1"/>
  <c r="AS15" i="1"/>
  <c r="AO15" i="1"/>
  <c r="U15" i="1"/>
  <c r="T15" i="1"/>
  <c r="BJ14" i="1"/>
  <c r="BF14" i="1"/>
  <c r="BA14" i="1"/>
  <c r="AS14" i="1"/>
  <c r="AO14" i="1"/>
  <c r="BK13" i="1"/>
  <c r="BH13" i="1"/>
  <c r="BH9" i="1" s="1"/>
  <c r="BD13" i="1"/>
  <c r="BD9" i="1" s="1"/>
  <c r="BC13" i="1"/>
  <c r="BC9" i="1" s="1"/>
  <c r="BB13" i="1"/>
  <c r="AY13" i="1"/>
  <c r="AY9" i="1" s="1"/>
  <c r="AX13" i="1"/>
  <c r="AX9" i="1" s="1"/>
  <c r="AV13" i="1"/>
  <c r="AV9" i="1" s="1"/>
  <c r="AU13" i="1"/>
  <c r="AU9" i="1" s="1"/>
  <c r="AM13" i="1"/>
  <c r="AM9" i="1" s="1"/>
  <c r="BK12" i="1"/>
  <c r="BH12" i="1"/>
  <c r="BC12" i="1"/>
  <c r="BB12" i="1"/>
  <c r="AY12" i="1"/>
  <c r="AU12" i="1"/>
  <c r="AT12" i="1"/>
  <c r="AM12" i="1"/>
  <c r="AF12" i="1"/>
  <c r="X12" i="1"/>
  <c r="J12" i="1"/>
  <c r="BF11" i="1"/>
  <c r="BK9" i="1"/>
  <c r="BB9" i="1"/>
  <c r="AL24" i="1" l="1"/>
  <c r="AL41" i="1"/>
  <c r="AI42" i="1"/>
  <c r="AJ42" i="1" s="1"/>
  <c r="AL23" i="1"/>
  <c r="AP41" i="1"/>
  <c r="AQ41" i="1" s="1"/>
  <c r="AZ14" i="1"/>
  <c r="AZ11" i="1"/>
  <c r="AZ10" i="1" s="1"/>
  <c r="P22" i="1"/>
  <c r="P19" i="1" s="1"/>
  <c r="N19" i="1"/>
  <c r="E24" i="1"/>
  <c r="N42" i="1"/>
  <c r="P41" i="1"/>
  <c r="P23" i="1" s="1"/>
  <c r="N23" i="1"/>
  <c r="AJ41" i="1"/>
  <c r="N76" i="1"/>
  <c r="P76" i="1" s="1"/>
  <c r="P75" i="1"/>
  <c r="N85" i="1"/>
  <c r="P85" i="1" s="1"/>
  <c r="P84" i="1"/>
  <c r="AY15" i="1"/>
  <c r="BR17" i="1"/>
  <c r="P66" i="1"/>
  <c r="N67" i="1"/>
  <c r="P67" i="1" s="1"/>
  <c r="J13" i="1"/>
  <c r="J9" i="1" s="1"/>
  <c r="E42" i="1"/>
  <c r="F42" i="1" s="1"/>
  <c r="J42" i="1"/>
  <c r="J24" i="1" s="1"/>
  <c r="I43" i="1"/>
  <c r="I24" i="1"/>
  <c r="Q22" i="1"/>
  <c r="Q19" i="1" s="1"/>
  <c r="O19" i="1"/>
  <c r="BJ10" i="1"/>
  <c r="AT14" i="1"/>
  <c r="BB14" i="1"/>
  <c r="BK11" i="1"/>
  <c r="BK10" i="1" s="1"/>
  <c r="BK14" i="1"/>
  <c r="N46" i="1"/>
  <c r="P46" i="1" s="1"/>
  <c r="P45" i="1"/>
  <c r="AG41" i="1"/>
  <c r="AG23" i="1" s="1"/>
  <c r="AI24" i="1"/>
  <c r="N79" i="1"/>
  <c r="P79" i="1" s="1"/>
  <c r="P78" i="1"/>
  <c r="AP106" i="1"/>
  <c r="AQ106" i="1" s="1"/>
  <c r="AQ105" i="1"/>
  <c r="BH14" i="1"/>
  <c r="BH11" i="1"/>
  <c r="BH10" i="1" s="1"/>
  <c r="N73" i="1"/>
  <c r="P73" i="1" s="1"/>
  <c r="P72" i="1"/>
  <c r="AS11" i="1"/>
  <c r="AS10" i="1" s="1"/>
  <c r="AU11" i="1"/>
  <c r="AU10" i="1" s="1"/>
  <c r="AU14" i="1"/>
  <c r="BC14" i="1"/>
  <c r="AQ46" i="1"/>
  <c r="N61" i="1"/>
  <c r="P61" i="1" s="1"/>
  <c r="P60" i="1"/>
  <c r="N52" i="1"/>
  <c r="P52" i="1" s="1"/>
  <c r="P51" i="1"/>
  <c r="AQ108" i="1"/>
  <c r="AP109" i="1"/>
  <c r="AQ109" i="1" s="1"/>
  <c r="J120" i="1"/>
  <c r="AX14" i="1"/>
  <c r="AV10" i="1"/>
  <c r="BF10" i="1"/>
  <c r="AW10" i="1"/>
  <c r="P27" i="1"/>
  <c r="N28" i="1"/>
  <c r="N24" i="1"/>
  <c r="AN41" i="1"/>
  <c r="AN23" i="1" s="1"/>
  <c r="AN13" i="1" s="1"/>
  <c r="AN9" i="1" s="1"/>
  <c r="N48" i="1"/>
  <c r="O18" i="1"/>
  <c r="F20" i="1"/>
  <c r="F17" i="1" s="1"/>
  <c r="P21" i="1"/>
  <c r="P18" i="1" s="1"/>
  <c r="I23" i="1"/>
  <c r="I13" i="1" s="1"/>
  <c r="I9" i="1" s="1"/>
  <c r="F27" i="1"/>
  <c r="F24" i="1" s="1"/>
  <c r="F28" i="1"/>
  <c r="AQ28" i="1"/>
  <c r="AQ30" i="1"/>
  <c r="P36" i="1"/>
  <c r="N40" i="1"/>
  <c r="P40" i="1" s="1"/>
  <c r="J41" i="1"/>
  <c r="J23" i="1" s="1"/>
  <c r="O42" i="1"/>
  <c r="P44" i="1"/>
  <c r="AN46" i="1"/>
  <c r="J49" i="1"/>
  <c r="AD49" i="1"/>
  <c r="AJ49" i="1" s="1"/>
  <c r="Q51" i="1"/>
  <c r="AN51" i="1"/>
  <c r="AN42" i="1" s="1"/>
  <c r="AN24" i="1" s="1"/>
  <c r="AG52" i="1"/>
  <c r="AJ52" i="1" s="1"/>
  <c r="AT53" i="1"/>
  <c r="AT41" i="1" s="1"/>
  <c r="AT23" i="1" s="1"/>
  <c r="AI55" i="1"/>
  <c r="P59" i="1"/>
  <c r="AP61" i="1"/>
  <c r="AQ61" i="1" s="1"/>
  <c r="AN62" i="1"/>
  <c r="AN63" i="1" s="1"/>
  <c r="J64" i="1"/>
  <c r="AD64" i="1"/>
  <c r="AJ64" i="1" s="1"/>
  <c r="Q66" i="1"/>
  <c r="AG67" i="1"/>
  <c r="AJ67" i="1" s="1"/>
  <c r="AQ69" i="1"/>
  <c r="AN73" i="1"/>
  <c r="J76" i="1"/>
  <c r="J85" i="1"/>
  <c r="P99" i="1"/>
  <c r="AJ104" i="1"/>
  <c r="AQ114" i="1"/>
  <c r="AP115" i="1"/>
  <c r="AQ115" i="1" s="1"/>
  <c r="AF119" i="1"/>
  <c r="AJ123" i="1"/>
  <c r="AB120" i="1"/>
  <c r="N133" i="1"/>
  <c r="O134" i="1"/>
  <c r="N134" i="1" s="1"/>
  <c r="AG132" i="1"/>
  <c r="AJ132" i="1" s="1"/>
  <c r="Z146" i="1"/>
  <c r="P152" i="1"/>
  <c r="Q153" i="1"/>
  <c r="O152" i="1"/>
  <c r="Q147" i="1"/>
  <c r="AF204" i="1"/>
  <c r="AM212" i="1"/>
  <c r="AF213" i="1"/>
  <c r="AL212" i="1"/>
  <c r="AI212" i="1"/>
  <c r="AG212" i="1"/>
  <c r="O118" i="1"/>
  <c r="Q118" i="1" s="1"/>
  <c r="Q117" i="1"/>
  <c r="W193" i="1"/>
  <c r="Z193" i="1" s="1"/>
  <c r="Z192" i="1"/>
  <c r="X192" i="1"/>
  <c r="J79" i="1"/>
  <c r="AN106" i="1"/>
  <c r="AL106" i="1"/>
  <c r="S146" i="1"/>
  <c r="S135" i="1" s="1"/>
  <c r="AR151" i="1"/>
  <c r="P252" i="1"/>
  <c r="N252" i="1" s="1"/>
  <c r="O252" i="1"/>
  <c r="AC12" i="1"/>
  <c r="AL12" i="1" s="1"/>
  <c r="AS13" i="1"/>
  <c r="E19" i="1"/>
  <c r="AD19" i="1"/>
  <c r="Q21" i="1"/>
  <c r="Q18" i="1" s="1"/>
  <c r="N33" i="1"/>
  <c r="AP34" i="1"/>
  <c r="AQ34" i="1" s="1"/>
  <c r="Q36" i="1"/>
  <c r="AI52" i="1"/>
  <c r="AN58" i="1"/>
  <c r="P63" i="1"/>
  <c r="AI67" i="1"/>
  <c r="P71" i="1"/>
  <c r="P102" i="1"/>
  <c r="AI106" i="1"/>
  <c r="N109" i="1"/>
  <c r="P109" i="1" s="1"/>
  <c r="O115" i="1"/>
  <c r="Q115" i="1" s="1"/>
  <c r="Q114" i="1"/>
  <c r="AG55" i="1"/>
  <c r="AJ55" i="1" s="1"/>
  <c r="F131" i="1"/>
  <c r="F122" i="1" s="1"/>
  <c r="F16" i="1" s="1"/>
  <c r="F12" i="1" s="1"/>
  <c r="E122" i="1"/>
  <c r="E16" i="1" s="1"/>
  <c r="E12" i="1" s="1"/>
  <c r="W149" i="1"/>
  <c r="Z150" i="1"/>
  <c r="X150" i="1"/>
  <c r="AV16" i="1"/>
  <c r="AV12" i="1" s="1"/>
  <c r="BD16" i="1"/>
  <c r="BD12" i="1" s="1"/>
  <c r="BD10" i="1" s="1"/>
  <c r="AP19" i="1"/>
  <c r="AJ26" i="1"/>
  <c r="AC43" i="1"/>
  <c r="E55" i="1"/>
  <c r="F55" i="1" s="1"/>
  <c r="AL55" i="1"/>
  <c r="AP58" i="1"/>
  <c r="AQ58" i="1" s="1"/>
  <c r="AL79" i="1"/>
  <c r="AI79" i="1"/>
  <c r="N115" i="1"/>
  <c r="P115" i="1" s="1"/>
  <c r="AQ117" i="1"/>
  <c r="AJ117" i="1"/>
  <c r="AL118" i="1"/>
  <c r="AI118" i="1"/>
  <c r="AD118" i="1"/>
  <c r="AJ118" i="1" s="1"/>
  <c r="AA121" i="1"/>
  <c r="AW129" i="1"/>
  <c r="AW119" i="1" s="1"/>
  <c r="AI119" i="1"/>
  <c r="U131" i="1"/>
  <c r="Z131" i="1"/>
  <c r="Z122" i="1" s="1"/>
  <c r="Z16" i="1" s="1"/>
  <c r="Z12" i="1" s="1"/>
  <c r="E179" i="1"/>
  <c r="E176" i="1"/>
  <c r="F178" i="1"/>
  <c r="AD176" i="1"/>
  <c r="AD182" i="1"/>
  <c r="AE135" i="1"/>
  <c r="N18" i="1"/>
  <c r="O100" i="1"/>
  <c r="Q100" i="1" s="1"/>
  <c r="Q99" i="1"/>
  <c r="AW14" i="1"/>
  <c r="BE14" i="1"/>
  <c r="AP40" i="1"/>
  <c r="AQ40" i="1" s="1"/>
  <c r="AL42" i="1"/>
  <c r="AI49" i="1"/>
  <c r="AL52" i="1"/>
  <c r="AT62" i="1"/>
  <c r="AI64" i="1"/>
  <c r="AL67" i="1"/>
  <c r="O79" i="1"/>
  <c r="Q79" i="1" s="1"/>
  <c r="Q78" i="1"/>
  <c r="AL85" i="1"/>
  <c r="AI85" i="1"/>
  <c r="AP99" i="1"/>
  <c r="AQ98" i="1"/>
  <c r="AN103" i="1"/>
  <c r="AL103" i="1"/>
  <c r="AI103" i="1"/>
  <c r="P111" i="1"/>
  <c r="N112" i="1"/>
  <c r="P112" i="1" s="1"/>
  <c r="W119" i="1"/>
  <c r="AQ134" i="1"/>
  <c r="AQ121" i="1" s="1"/>
  <c r="AQ120" i="1" s="1"/>
  <c r="AP121" i="1"/>
  <c r="AG145" i="1"/>
  <c r="AP145" i="1"/>
  <c r="AQ145" i="1" s="1"/>
  <c r="AM145" i="1"/>
  <c r="P178" i="1"/>
  <c r="O178" i="1"/>
  <c r="O176" i="1" s="1"/>
  <c r="Q179" i="1"/>
  <c r="Q176" i="1"/>
  <c r="AD135" i="1"/>
  <c r="AD13" i="1" s="1"/>
  <c r="AD9" i="1" s="1"/>
  <c r="J238" i="1"/>
  <c r="J235" i="1"/>
  <c r="E125" i="1"/>
  <c r="F124" i="1"/>
  <c r="P74" i="1"/>
  <c r="AI97" i="1"/>
  <c r="AD97" i="1"/>
  <c r="AJ97" i="1" s="1"/>
  <c r="O85" i="1"/>
  <c r="Q85" i="1" s="1"/>
  <c r="Q84" i="1"/>
  <c r="N90" i="1"/>
  <c r="AL91" i="1"/>
  <c r="AI91" i="1"/>
  <c r="N97" i="1"/>
  <c r="P97" i="1" s="1"/>
  <c r="P96" i="1"/>
  <c r="AL100" i="1"/>
  <c r="AL99" i="1"/>
  <c r="AF110" i="1"/>
  <c r="AP110" i="1"/>
  <c r="F117" i="1"/>
  <c r="J118" i="1"/>
  <c r="F118" i="1" s="1"/>
  <c r="N125" i="1"/>
  <c r="O129" i="1"/>
  <c r="Q130" i="1"/>
  <c r="O138" i="1"/>
  <c r="Z142" i="1"/>
  <c r="P199" i="1"/>
  <c r="N199" i="1" s="1"/>
  <c r="P227" i="1"/>
  <c r="N227" i="1" s="1"/>
  <c r="O227" i="1"/>
  <c r="P158" i="1"/>
  <c r="N158" i="1" s="1"/>
  <c r="O158" i="1"/>
  <c r="Q159" i="1"/>
  <c r="T16" i="1"/>
  <c r="AG18" i="1"/>
  <c r="E41" i="1"/>
  <c r="P50" i="1"/>
  <c r="Q57" i="1"/>
  <c r="P65" i="1"/>
  <c r="P69" i="1"/>
  <c r="O91" i="1"/>
  <c r="Q91" i="1" s="1"/>
  <c r="Q90" i="1"/>
  <c r="AD91" i="1"/>
  <c r="AJ91" i="1" s="1"/>
  <c r="AW95" i="1"/>
  <c r="AT95" i="1"/>
  <c r="AG99" i="1"/>
  <c r="AJ99" i="1" s="1"/>
  <c r="AQ104" i="1"/>
  <c r="Q111" i="1"/>
  <c r="BF113" i="1"/>
  <c r="AL113" i="1"/>
  <c r="AI113" i="1"/>
  <c r="N118" i="1"/>
  <c r="P118" i="1" s="1"/>
  <c r="P117" i="1"/>
  <c r="AL122" i="1"/>
  <c r="AC120" i="1"/>
  <c r="AL120" i="1" s="1"/>
  <c r="AB123" i="1"/>
  <c r="AB119" i="1" s="1"/>
  <c r="T123" i="1"/>
  <c r="V119" i="1"/>
  <c r="Q125" i="1"/>
  <c r="AL138" i="1"/>
  <c r="AC135" i="1"/>
  <c r="W165" i="1"/>
  <c r="Z164" i="1"/>
  <c r="X164" i="1"/>
  <c r="AA164" i="1" s="1"/>
  <c r="P192" i="1"/>
  <c r="N192" i="1" s="1"/>
  <c r="O192" i="1"/>
  <c r="Q193" i="1"/>
  <c r="P201" i="1"/>
  <c r="N201" i="1" s="1"/>
  <c r="Q202" i="1"/>
  <c r="O201" i="1"/>
  <c r="X227" i="1"/>
  <c r="AA227" i="1" s="1"/>
  <c r="Z227" i="1"/>
  <c r="E82" i="1"/>
  <c r="F82" i="1" s="1"/>
  <c r="E88" i="1"/>
  <c r="F88" i="1" s="1"/>
  <c r="E94" i="1"/>
  <c r="F94" i="1" s="1"/>
  <c r="AJ130" i="1"/>
  <c r="X139" i="1"/>
  <c r="AW135" i="1"/>
  <c r="BE135" i="1"/>
  <c r="BE13" i="1" s="1"/>
  <c r="BE9" i="1" s="1"/>
  <c r="AB203" i="1"/>
  <c r="J204" i="1"/>
  <c r="J207" i="1"/>
  <c r="Z250" i="1"/>
  <c r="Z245" i="1" s="1"/>
  <c r="X250" i="1"/>
  <c r="W245" i="1"/>
  <c r="P360" i="1"/>
  <c r="O360" i="1"/>
  <c r="Q355" i="1"/>
  <c r="Q361" i="1"/>
  <c r="AL117" i="1"/>
  <c r="AP119" i="1"/>
  <c r="AP122" i="1"/>
  <c r="AP16" i="1" s="1"/>
  <c r="AP12" i="1" s="1"/>
  <c r="P128" i="1"/>
  <c r="Q128" i="1" s="1"/>
  <c r="AY136" i="1"/>
  <c r="AY137" i="1" s="1"/>
  <c r="BI136" i="1"/>
  <c r="BI137" i="1" s="1"/>
  <c r="BI15" i="1" s="1"/>
  <c r="Q145" i="1"/>
  <c r="P144" i="1"/>
  <c r="O144" i="1"/>
  <c r="AQ144" i="1"/>
  <c r="AQ139" i="1" s="1"/>
  <c r="AP139" i="1"/>
  <c r="Q162" i="1"/>
  <c r="P161" i="1"/>
  <c r="N161" i="1" s="1"/>
  <c r="O161" i="1"/>
  <c r="AP199" i="1"/>
  <c r="AQ199" i="1" s="1"/>
  <c r="AM199" i="1"/>
  <c r="AG199" i="1"/>
  <c r="AM204" i="1"/>
  <c r="Z211" i="1"/>
  <c r="X211" i="1"/>
  <c r="AA211" i="1" s="1"/>
  <c r="AA203" i="1" s="1"/>
  <c r="O234" i="1"/>
  <c r="AP255" i="1"/>
  <c r="AQ255" i="1" s="1"/>
  <c r="AM255" i="1"/>
  <c r="AG255" i="1"/>
  <c r="F263" i="1"/>
  <c r="AG327" i="1"/>
  <c r="AP327" i="1"/>
  <c r="AQ327" i="1" s="1"/>
  <c r="AN327" i="1"/>
  <c r="N81" i="1"/>
  <c r="N87" i="1"/>
  <c r="N93" i="1"/>
  <c r="E117" i="1"/>
  <c r="N124" i="1"/>
  <c r="O124" i="1" s="1"/>
  <c r="AA139" i="1"/>
  <c r="AG146" i="1"/>
  <c r="AO135" i="1"/>
  <c r="AO13" i="1" s="1"/>
  <c r="AO9" i="1" s="1"/>
  <c r="AM187" i="1"/>
  <c r="AG187" i="1"/>
  <c r="F207" i="1"/>
  <c r="E206" i="1"/>
  <c r="O204" i="1"/>
  <c r="AQ203" i="1"/>
  <c r="AJ235" i="1"/>
  <c r="N236" i="1"/>
  <c r="N234" i="1" s="1"/>
  <c r="P234" i="1"/>
  <c r="J139" i="1"/>
  <c r="J142" i="1"/>
  <c r="Z145" i="1"/>
  <c r="N146" i="1"/>
  <c r="E149" i="1"/>
  <c r="E147" i="1" s="1"/>
  <c r="F150" i="1"/>
  <c r="F149" i="1" s="1"/>
  <c r="F147" i="1" s="1"/>
  <c r="Z154" i="1"/>
  <c r="X154" i="1"/>
  <c r="AA154" i="1" s="1"/>
  <c r="AR203" i="1"/>
  <c r="P204" i="1"/>
  <c r="N209" i="1"/>
  <c r="N204" i="1" s="1"/>
  <c r="P213" i="1"/>
  <c r="N213" i="1" s="1"/>
  <c r="O213" i="1"/>
  <c r="X223" i="1"/>
  <c r="AA225" i="1"/>
  <c r="AA223" i="1" s="1"/>
  <c r="Y245" i="1"/>
  <c r="AB253" i="1"/>
  <c r="AI131" i="1"/>
  <c r="AI122" i="1" s="1"/>
  <c r="AI16" i="1" s="1"/>
  <c r="AI12" i="1" s="1"/>
  <c r="AD131" i="1"/>
  <c r="AJ147" i="1"/>
  <c r="W156" i="1"/>
  <c r="Z156" i="1" s="1"/>
  <c r="Z155" i="1"/>
  <c r="X155" i="1"/>
  <c r="AI147" i="1"/>
  <c r="AI159" i="1"/>
  <c r="AJ158" i="1"/>
  <c r="AJ159" i="1" s="1"/>
  <c r="X175" i="1"/>
  <c r="AA177" i="1"/>
  <c r="AA175" i="1" s="1"/>
  <c r="P186" i="1"/>
  <c r="O186" i="1"/>
  <c r="Q184" i="1"/>
  <c r="Q187" i="1"/>
  <c r="W184" i="1"/>
  <c r="Z208" i="1"/>
  <c r="Z203" i="1" s="1"/>
  <c r="X208" i="1"/>
  <c r="AA208" i="1" s="1"/>
  <c r="W210" i="1"/>
  <c r="Z210" i="1" s="1"/>
  <c r="Z209" i="1"/>
  <c r="Z204" i="1" s="1"/>
  <c r="X209" i="1"/>
  <c r="W204" i="1"/>
  <c r="P216" i="1"/>
  <c r="N216" i="1" s="1"/>
  <c r="O216" i="1"/>
  <c r="E227" i="1"/>
  <c r="E224" i="1"/>
  <c r="F226" i="1"/>
  <c r="AB262" i="1"/>
  <c r="Z270" i="1"/>
  <c r="X270" i="1"/>
  <c r="W262" i="1"/>
  <c r="O139" i="1"/>
  <c r="P165" i="1"/>
  <c r="N165" i="1" s="1"/>
  <c r="O165" i="1"/>
  <c r="AG147" i="1"/>
  <c r="N205" i="1"/>
  <c r="N203" i="1" s="1"/>
  <c r="P203" i="1"/>
  <c r="BT290" i="1"/>
  <c r="AK285" i="1"/>
  <c r="AK135" i="1" s="1"/>
  <c r="W159" i="1"/>
  <c r="X162" i="1"/>
  <c r="AA162" i="1" s="1"/>
  <c r="Q183" i="1"/>
  <c r="P191" i="1"/>
  <c r="P198" i="1"/>
  <c r="N198" i="1" s="1"/>
  <c r="P212" i="1"/>
  <c r="N212" i="1" s="1"/>
  <c r="P226" i="1"/>
  <c r="W235" i="1"/>
  <c r="AJ245" i="1"/>
  <c r="Q246" i="1"/>
  <c r="P248" i="1"/>
  <c r="J266" i="1"/>
  <c r="J263" i="1"/>
  <c r="AQ265" i="1"/>
  <c r="AG268" i="1"/>
  <c r="AG263" i="1" s="1"/>
  <c r="AP268" i="1"/>
  <c r="AQ268" i="1" s="1"/>
  <c r="AF269" i="1"/>
  <c r="AM268" i="1"/>
  <c r="AF263" i="1"/>
  <c r="AB270" i="1"/>
  <c r="Y262" i="1"/>
  <c r="E289" i="1"/>
  <c r="F288" i="1"/>
  <c r="J286" i="1"/>
  <c r="J289" i="1"/>
  <c r="AJ286" i="1"/>
  <c r="AD357" i="1"/>
  <c r="AC358" i="1"/>
  <c r="AL358" i="1" s="1"/>
  <c r="AL357" i="1"/>
  <c r="AC355" i="1"/>
  <c r="P230" i="1"/>
  <c r="N230" i="1" s="1"/>
  <c r="O230" i="1"/>
  <c r="Q237" i="1"/>
  <c r="Q234" i="1"/>
  <c r="AI234" i="1"/>
  <c r="AJ236" i="1"/>
  <c r="AJ234" i="1" s="1"/>
  <c r="AP241" i="1"/>
  <c r="AQ241" i="1" s="1"/>
  <c r="AM241" i="1"/>
  <c r="Z248" i="1"/>
  <c r="Z246" i="1" s="1"/>
  <c r="X248" i="1"/>
  <c r="W246" i="1"/>
  <c r="AG262" i="1"/>
  <c r="P272" i="1"/>
  <c r="N272" i="1" s="1"/>
  <c r="O272" i="1"/>
  <c r="J309" i="1"/>
  <c r="J312" i="1"/>
  <c r="W146" i="1"/>
  <c r="X148" i="1"/>
  <c r="X160" i="1"/>
  <c r="AA160" i="1" s="1"/>
  <c r="X174" i="1"/>
  <c r="AA174" i="1" s="1"/>
  <c r="AP176" i="1"/>
  <c r="Z178" i="1"/>
  <c r="Z176" i="1" s="1"/>
  <c r="AG179" i="1"/>
  <c r="F186" i="1"/>
  <c r="F184" i="1" s="1"/>
  <c r="X187" i="1"/>
  <c r="AA187" i="1" s="1"/>
  <c r="X188" i="1"/>
  <c r="X189" i="1"/>
  <c r="AQ192" i="1"/>
  <c r="AQ184" i="1" s="1"/>
  <c r="X199" i="1"/>
  <c r="AA199" i="1" s="1"/>
  <c r="AP203" i="1"/>
  <c r="AD207" i="1"/>
  <c r="X219" i="1"/>
  <c r="AA219" i="1" s="1"/>
  <c r="AI222" i="1"/>
  <c r="AD227" i="1"/>
  <c r="X237" i="1"/>
  <c r="W238" i="1"/>
  <c r="AG241" i="1"/>
  <c r="AD246" i="1"/>
  <c r="AD249" i="1"/>
  <c r="Q249" i="1"/>
  <c r="Q261" i="1"/>
  <c r="Q266" i="1"/>
  <c r="O265" i="1"/>
  <c r="AI265" i="1"/>
  <c r="Z284" i="1"/>
  <c r="X284" i="1"/>
  <c r="AA284" i="1" s="1"/>
  <c r="E286" i="1"/>
  <c r="N286" i="1"/>
  <c r="AA290" i="1"/>
  <c r="AA285" i="1" s="1"/>
  <c r="X285" i="1"/>
  <c r="AQ291" i="1"/>
  <c r="AP286" i="1"/>
  <c r="E309" i="1"/>
  <c r="E312" i="1"/>
  <c r="F311" i="1"/>
  <c r="F381" i="1"/>
  <c r="F378" i="1"/>
  <c r="AG134" i="1"/>
  <c r="X140" i="1"/>
  <c r="J178" i="1"/>
  <c r="AA178" i="1"/>
  <c r="W179" i="1"/>
  <c r="X182" i="1"/>
  <c r="AA182" i="1" s="1"/>
  <c r="Z189" i="1"/>
  <c r="Z184" i="1" s="1"/>
  <c r="X196" i="1"/>
  <c r="AA196" i="1" s="1"/>
  <c r="X198" i="1"/>
  <c r="AA198" i="1" s="1"/>
  <c r="F205" i="1"/>
  <c r="F203" i="1" s="1"/>
  <c r="F135" i="1" s="1"/>
  <c r="X212" i="1"/>
  <c r="P215" i="1"/>
  <c r="N215" i="1" s="1"/>
  <c r="Q224" i="1"/>
  <c r="X226" i="1"/>
  <c r="X230" i="1"/>
  <c r="AA230" i="1" s="1"/>
  <c r="Z236" i="1"/>
  <c r="Z234" i="1" s="1"/>
  <c r="X236" i="1"/>
  <c r="Q244" i="1"/>
  <c r="O243" i="1"/>
  <c r="AQ245" i="1"/>
  <c r="AF249" i="1"/>
  <c r="AP248" i="1"/>
  <c r="AM248" i="1"/>
  <c r="AM246" i="1" s="1"/>
  <c r="AL248" i="1"/>
  <c r="AG248" i="1"/>
  <c r="W249" i="1"/>
  <c r="AF258" i="1"/>
  <c r="Q262" i="1"/>
  <c r="P264" i="1"/>
  <c r="O285" i="1"/>
  <c r="X332" i="1"/>
  <c r="AA337" i="1"/>
  <c r="AA332" i="1" s="1"/>
  <c r="O363" i="1"/>
  <c r="Q364" i="1"/>
  <c r="P363" i="1"/>
  <c r="N363" i="1" s="1"/>
  <c r="Q138" i="1"/>
  <c r="O142" i="1"/>
  <c r="AG144" i="1"/>
  <c r="AG139" i="1" s="1"/>
  <c r="Y146" i="1"/>
  <c r="O150" i="1"/>
  <c r="O151" i="1"/>
  <c r="O146" i="1" s="1"/>
  <c r="O155" i="1"/>
  <c r="Q156" i="1"/>
  <c r="O157" i="1"/>
  <c r="O164" i="1"/>
  <c r="O147" i="1" s="1"/>
  <c r="O170" i="1"/>
  <c r="Q171" i="1"/>
  <c r="AI171" i="1"/>
  <c r="I176" i="1"/>
  <c r="AJ179" i="1"/>
  <c r="X181" i="1"/>
  <c r="AA181" i="1" s="1"/>
  <c r="Z188" i="1"/>
  <c r="Z183" i="1" s="1"/>
  <c r="O190" i="1"/>
  <c r="X195" i="1"/>
  <c r="AA195" i="1" s="1"/>
  <c r="AI202" i="1"/>
  <c r="Q207" i="1"/>
  <c r="O209" i="1"/>
  <c r="Z212" i="1"/>
  <c r="Z226" i="1"/>
  <c r="Q241" i="1"/>
  <c r="AB245" i="1"/>
  <c r="AI248" i="1"/>
  <c r="AG252" i="1"/>
  <c r="AM252" i="1"/>
  <c r="Z255" i="1"/>
  <c r="X255" i="1"/>
  <c r="AA255" i="1" s="1"/>
  <c r="AM257" i="1"/>
  <c r="P268" i="1"/>
  <c r="O268" i="1"/>
  <c r="X309" i="1"/>
  <c r="AA317" i="1"/>
  <c r="AA309" i="1" s="1"/>
  <c r="O376" i="1"/>
  <c r="P376" i="1"/>
  <c r="N376" i="1" s="1"/>
  <c r="AI144" i="1"/>
  <c r="Q146" i="1"/>
  <c r="P164" i="1"/>
  <c r="N164" i="1" s="1"/>
  <c r="AG184" i="1"/>
  <c r="AJ184" i="1" s="1"/>
  <c r="X206" i="1"/>
  <c r="AN222" i="1"/>
  <c r="Z232" i="1"/>
  <c r="AP244" i="1"/>
  <c r="AQ244" i="1" s="1"/>
  <c r="P245" i="1"/>
  <c r="AF246" i="1"/>
  <c r="AL246" i="1" s="1"/>
  <c r="Z252" i="1"/>
  <c r="P257" i="1"/>
  <c r="N257" i="1" s="1"/>
  <c r="Q258" i="1"/>
  <c r="O257" i="1"/>
  <c r="O246" i="1" s="1"/>
  <c r="AP257" i="1"/>
  <c r="AQ257" i="1" s="1"/>
  <c r="Z263" i="1"/>
  <c r="AM266" i="1"/>
  <c r="AG266" i="1"/>
  <c r="AP266" i="1"/>
  <c r="AQ266" i="1" s="1"/>
  <c r="Q269" i="1"/>
  <c r="AP271" i="1"/>
  <c r="AQ271" i="1" s="1"/>
  <c r="AG271" i="1"/>
  <c r="AF272" i="1"/>
  <c r="Q295" i="1"/>
  <c r="P294" i="1"/>
  <c r="N294" i="1" s="1"/>
  <c r="O294" i="1"/>
  <c r="O143" i="1"/>
  <c r="AB234" i="1"/>
  <c r="AP254" i="1"/>
  <c r="AQ254" i="1" s="1"/>
  <c r="AM254" i="1"/>
  <c r="AG254" i="1"/>
  <c r="AL263" i="1"/>
  <c r="AA263" i="1"/>
  <c r="Z269" i="1"/>
  <c r="X269" i="1"/>
  <c r="AA269" i="1" s="1"/>
  <c r="Q275" i="1"/>
  <c r="O274" i="1"/>
  <c r="P277" i="1"/>
  <c r="N277" i="1" s="1"/>
  <c r="Q278" i="1"/>
  <c r="O277" i="1"/>
  <c r="Z262" i="1"/>
  <c r="AG331" i="1"/>
  <c r="N285" i="1"/>
  <c r="Z308" i="1"/>
  <c r="AP315" i="1"/>
  <c r="AQ315" i="1" s="1"/>
  <c r="AN315" i="1"/>
  <c r="AG315" i="1"/>
  <c r="P320" i="1"/>
  <c r="N320" i="1" s="1"/>
  <c r="O320" i="1"/>
  <c r="Q321" i="1"/>
  <c r="AI354" i="1"/>
  <c r="AJ356" i="1"/>
  <c r="AJ354" i="1" s="1"/>
  <c r="P375" i="1"/>
  <c r="N375" i="1" s="1"/>
  <c r="O375" i="1"/>
  <c r="AQ375" i="1"/>
  <c r="AQ355" i="1" s="1"/>
  <c r="AP355" i="1"/>
  <c r="P412" i="1"/>
  <c r="N412" i="1" s="1"/>
  <c r="O412" i="1"/>
  <c r="Q413" i="1"/>
  <c r="AI459" i="1"/>
  <c r="AJ459" i="1" s="1"/>
  <c r="AT459" i="1"/>
  <c r="AL459" i="1"/>
  <c r="AG459" i="1"/>
  <c r="AQ421" i="1"/>
  <c r="AP422" i="1"/>
  <c r="AQ422" i="1" s="1"/>
  <c r="O232" i="1"/>
  <c r="O224" i="1" s="1"/>
  <c r="AL265" i="1"/>
  <c r="Z286" i="1"/>
  <c r="AQ286" i="1"/>
  <c r="P291" i="1"/>
  <c r="N291" i="1" s="1"/>
  <c r="O291" i="1"/>
  <c r="O286" i="1" s="1"/>
  <c r="Q292" i="1"/>
  <c r="Q286" i="1"/>
  <c r="AD309" i="1"/>
  <c r="AG308" i="1"/>
  <c r="X308" i="1"/>
  <c r="AA313" i="1"/>
  <c r="AA308" i="1" s="1"/>
  <c r="N316" i="1"/>
  <c r="AJ308" i="1"/>
  <c r="AN321" i="1"/>
  <c r="AG321" i="1"/>
  <c r="AK331" i="1"/>
  <c r="Z354" i="1"/>
  <c r="AN358" i="1"/>
  <c r="AG358" i="1"/>
  <c r="P399" i="1"/>
  <c r="N399" i="1" s="1"/>
  <c r="O399" i="1"/>
  <c r="P232" i="1"/>
  <c r="N232" i="1" s="1"/>
  <c r="AI244" i="1"/>
  <c r="AM265" i="1"/>
  <c r="AM263" i="1" s="1"/>
  <c r="AF278" i="1"/>
  <c r="AP277" i="1"/>
  <c r="AQ277" i="1" s="1"/>
  <c r="P284" i="1"/>
  <c r="N284" i="1" s="1"/>
  <c r="Z309" i="1"/>
  <c r="AQ309" i="1"/>
  <c r="N334" i="1"/>
  <c r="Z335" i="1"/>
  <c r="X335" i="1"/>
  <c r="AA335" i="1" s="1"/>
  <c r="AM281" i="1"/>
  <c r="AG281" i="1"/>
  <c r="AD289" i="1"/>
  <c r="AD286" i="1"/>
  <c r="P289" i="1"/>
  <c r="N289" i="1" s="1"/>
  <c r="O289" i="1"/>
  <c r="Q304" i="1"/>
  <c r="P303" i="1"/>
  <c r="N303" i="1" s="1"/>
  <c r="N308" i="1"/>
  <c r="AJ332" i="1"/>
  <c r="P341" i="1"/>
  <c r="N341" i="1" s="1"/>
  <c r="O341" i="1"/>
  <c r="Q347" i="1"/>
  <c r="P346" i="1"/>
  <c r="N346" i="1" s="1"/>
  <c r="Q332" i="1"/>
  <c r="O346" i="1"/>
  <c r="AQ346" i="1"/>
  <c r="AQ332" i="1" s="1"/>
  <c r="AP332" i="1"/>
  <c r="AG354" i="1"/>
  <c r="AN292" i="1"/>
  <c r="AG292" i="1"/>
  <c r="AP324" i="1"/>
  <c r="AQ324" i="1" s="1"/>
  <c r="AN324" i="1"/>
  <c r="AG324" i="1"/>
  <c r="P326" i="1"/>
  <c r="N326" i="1" s="1"/>
  <c r="O326" i="1"/>
  <c r="Q327" i="1"/>
  <c r="AJ309" i="1"/>
  <c r="AJ330" i="1"/>
  <c r="Z347" i="1"/>
  <c r="X347" i="1"/>
  <c r="AA347" i="1" s="1"/>
  <c r="Z405" i="1"/>
  <c r="Z400" i="1" s="1"/>
  <c r="Z135" i="1" s="1"/>
  <c r="X405" i="1"/>
  <c r="AA405" i="1" s="1"/>
  <c r="W400" i="1"/>
  <c r="N331" i="1"/>
  <c r="AI331" i="1"/>
  <c r="AJ333" i="1"/>
  <c r="AJ331" i="1" s="1"/>
  <c r="P400" i="1"/>
  <c r="N402" i="1"/>
  <c r="N400" i="1" s="1"/>
  <c r="Z412" i="1"/>
  <c r="X412" i="1"/>
  <c r="AA412" i="1" s="1"/>
  <c r="N444" i="1"/>
  <c r="AG454" i="1"/>
  <c r="AN454" i="1"/>
  <c r="AL454" i="1"/>
  <c r="AL455" i="1" s="1"/>
  <c r="AP454" i="1"/>
  <c r="AI454" i="1"/>
  <c r="T471" i="1"/>
  <c r="T11" i="1" s="1"/>
  <c r="T470" i="1"/>
  <c r="J471" i="1"/>
  <c r="J470" i="1"/>
  <c r="AM284" i="1"/>
  <c r="AA291" i="1"/>
  <c r="AA286" i="1" s="1"/>
  <c r="AP309" i="1"/>
  <c r="O310" i="1"/>
  <c r="O308" i="1" s="1"/>
  <c r="I312" i="1"/>
  <c r="Q315" i="1"/>
  <c r="E332" i="1"/>
  <c r="Z332" i="1"/>
  <c r="Z338" i="1"/>
  <c r="X338" i="1"/>
  <c r="AA338" i="1" s="1"/>
  <c r="P353" i="1"/>
  <c r="N353" i="1" s="1"/>
  <c r="E358" i="1"/>
  <c r="F357" i="1"/>
  <c r="P373" i="1"/>
  <c r="N373" i="1" s="1"/>
  <c r="O373" i="1"/>
  <c r="AL377" i="1"/>
  <c r="I381" i="1"/>
  <c r="I378" i="1"/>
  <c r="J380" i="1"/>
  <c r="AC471" i="1"/>
  <c r="AL471" i="1" s="1"/>
  <c r="AC470" i="1"/>
  <c r="AL470" i="1" s="1"/>
  <c r="AL473" i="1"/>
  <c r="O324" i="1"/>
  <c r="AA331" i="1"/>
  <c r="AN341" i="1"/>
  <c r="AG341" i="1"/>
  <c r="P350" i="1"/>
  <c r="N350" i="1" s="1"/>
  <c r="O350" i="1"/>
  <c r="Z373" i="1"/>
  <c r="X373" i="1"/>
  <c r="AA373" i="1" s="1"/>
  <c r="AQ378" i="1"/>
  <c r="P389" i="1"/>
  <c r="N389" i="1" s="1"/>
  <c r="O389" i="1"/>
  <c r="Q390" i="1"/>
  <c r="Q378" i="1"/>
  <c r="J401" i="1"/>
  <c r="AI410" i="1"/>
  <c r="AJ409" i="1"/>
  <c r="AJ410" i="1" s="1"/>
  <c r="X315" i="1"/>
  <c r="AA315" i="1" s="1"/>
  <c r="P330" i="1"/>
  <c r="N330" i="1" s="1"/>
  <c r="Z331" i="1"/>
  <c r="AP338" i="1"/>
  <c r="AQ338" i="1" s="1"/>
  <c r="AN338" i="1"/>
  <c r="AG332" i="1"/>
  <c r="Z353" i="1"/>
  <c r="X353" i="1"/>
  <c r="AA353" i="1" s="1"/>
  <c r="AA378" i="1"/>
  <c r="AN378" i="1"/>
  <c r="AQ436" i="1"/>
  <c r="AP437" i="1"/>
  <c r="AQ437" i="1" s="1"/>
  <c r="AN301" i="1"/>
  <c r="Q311" i="1"/>
  <c r="AN318" i="1"/>
  <c r="F335" i="1"/>
  <c r="F332" i="1"/>
  <c r="P340" i="1"/>
  <c r="N340" i="1" s="1"/>
  <c r="O340" i="1"/>
  <c r="O332" i="1" s="1"/>
  <c r="O343" i="1"/>
  <c r="Q344" i="1"/>
  <c r="X350" i="1"/>
  <c r="AA350" i="1" s="1"/>
  <c r="N354" i="1"/>
  <c r="AK356" i="1"/>
  <c r="AK354" i="1" s="1"/>
  <c r="AE354" i="1"/>
  <c r="AN361" i="1"/>
  <c r="AG361" i="1"/>
  <c r="X370" i="1"/>
  <c r="AA370" i="1" s="1"/>
  <c r="AP387" i="1"/>
  <c r="AQ387" i="1" s="1"/>
  <c r="AN387" i="1"/>
  <c r="N403" i="1"/>
  <c r="AT400" i="1"/>
  <c r="AT135" i="1" s="1"/>
  <c r="AP417" i="1"/>
  <c r="AP413" i="1"/>
  <c r="AQ413" i="1" s="1"/>
  <c r="AQ412" i="1"/>
  <c r="P416" i="1"/>
  <c r="N416" i="1" s="1"/>
  <c r="O416" i="1"/>
  <c r="AP448" i="1"/>
  <c r="AQ447" i="1"/>
  <c r="F287" i="1"/>
  <c r="F285" i="1" s="1"/>
  <c r="O323" i="1"/>
  <c r="Z330" i="1"/>
  <c r="X330" i="1"/>
  <c r="AA330" i="1" s="1"/>
  <c r="AG350" i="1"/>
  <c r="AP350" i="1"/>
  <c r="AQ350" i="1" s="1"/>
  <c r="X331" i="1"/>
  <c r="O354" i="1"/>
  <c r="O357" i="1"/>
  <c r="O355" i="1" s="1"/>
  <c r="Q358" i="1"/>
  <c r="O366" i="1"/>
  <c r="AG370" i="1"/>
  <c r="AP370" i="1"/>
  <c r="AQ370" i="1" s="1"/>
  <c r="X354" i="1"/>
  <c r="AA374" i="1"/>
  <c r="AA354" i="1" s="1"/>
  <c r="AJ378" i="1"/>
  <c r="AG387" i="1"/>
  <c r="O392" i="1"/>
  <c r="Q393" i="1"/>
  <c r="Z418" i="1"/>
  <c r="X418" i="1"/>
  <c r="AA418" i="1" s="1"/>
  <c r="AN330" i="1"/>
  <c r="AN353" i="1"/>
  <c r="E378" i="1"/>
  <c r="N385" i="1"/>
  <c r="N377" i="1" s="1"/>
  <c r="AN393" i="1"/>
  <c r="Q404" i="1"/>
  <c r="Z414" i="1"/>
  <c r="X414" i="1"/>
  <c r="AA414" i="1" s="1"/>
  <c r="AM415" i="1"/>
  <c r="AL415" i="1"/>
  <c r="AL416" i="1" s="1"/>
  <c r="Q419" i="1"/>
  <c r="X430" i="1"/>
  <c r="AA430" i="1" s="1"/>
  <c r="Z430" i="1"/>
  <c r="F470" i="1"/>
  <c r="AQ475" i="1"/>
  <c r="AQ473" i="1" s="1"/>
  <c r="X378" i="1"/>
  <c r="P380" i="1"/>
  <c r="O380" i="1"/>
  <c r="X381" i="1"/>
  <c r="AA381" i="1" s="1"/>
  <c r="AP390" i="1"/>
  <c r="AQ390" i="1" s="1"/>
  <c r="AP393" i="1"/>
  <c r="AQ393" i="1" s="1"/>
  <c r="P396" i="1"/>
  <c r="N396" i="1" s="1"/>
  <c r="O396" i="1"/>
  <c r="W401" i="1"/>
  <c r="Z403" i="1"/>
  <c r="Z404" i="1"/>
  <c r="X404" i="1"/>
  <c r="AA404" i="1" s="1"/>
  <c r="AB405" i="1"/>
  <c r="Y400" i="1"/>
  <c r="Z407" i="1"/>
  <c r="X407" i="1"/>
  <c r="AA407" i="1" s="1"/>
  <c r="X416" i="1"/>
  <c r="AP441" i="1"/>
  <c r="BC470" i="1"/>
  <c r="BC471" i="1"/>
  <c r="BC11" i="1" s="1"/>
  <c r="BC10" i="1" s="1"/>
  <c r="AA403" i="1"/>
  <c r="P410" i="1"/>
  <c r="N410" i="1" s="1"/>
  <c r="O410" i="1"/>
  <c r="AI416" i="1"/>
  <c r="AJ415" i="1"/>
  <c r="AJ416" i="1" s="1"/>
  <c r="AF418" i="1"/>
  <c r="AM419" i="1"/>
  <c r="Q464" i="1"/>
  <c r="P463" i="1"/>
  <c r="N463" i="1" s="1"/>
  <c r="O463" i="1"/>
  <c r="AO471" i="1"/>
  <c r="AO11" i="1" s="1"/>
  <c r="AO10" i="1" s="1"/>
  <c r="AO470" i="1"/>
  <c r="AN471" i="1"/>
  <c r="AN470" i="1"/>
  <c r="AP476" i="1"/>
  <c r="Z474" i="1"/>
  <c r="Z472" i="1" s="1"/>
  <c r="Z469" i="1" s="1"/>
  <c r="X470" i="1"/>
  <c r="X471" i="1"/>
  <c r="O370" i="1"/>
  <c r="AD378" i="1"/>
  <c r="AP378" i="1"/>
  <c r="AI379" i="1"/>
  <c r="Z378" i="1"/>
  <c r="AN381" i="1"/>
  <c r="AL381" i="1"/>
  <c r="AP384" i="1"/>
  <c r="AQ384" i="1" s="1"/>
  <c r="AN384" i="1"/>
  <c r="X396" i="1"/>
  <c r="AA396" i="1" s="1"/>
  <c r="AB400" i="1"/>
  <c r="BQ402" i="1"/>
  <c r="BR402" i="1" s="1"/>
  <c r="AP407" i="1"/>
  <c r="AQ407" i="1" s="1"/>
  <c r="AQ406" i="1"/>
  <c r="O418" i="1"/>
  <c r="AG419" i="1"/>
  <c r="AM421" i="1"/>
  <c r="AL421" i="1"/>
  <c r="AL422" i="1" s="1"/>
  <c r="X422" i="1"/>
  <c r="AA422" i="1" s="1"/>
  <c r="W421" i="1"/>
  <c r="AP427" i="1"/>
  <c r="AM427" i="1"/>
  <c r="AL427" i="1"/>
  <c r="AL428" i="1" s="1"/>
  <c r="AI442" i="1"/>
  <c r="AN442" i="1"/>
  <c r="AG442" i="1"/>
  <c r="AF436" i="1"/>
  <c r="P446" i="1"/>
  <c r="N446" i="1" s="1"/>
  <c r="O446" i="1"/>
  <c r="AL447" i="1"/>
  <c r="AI447" i="1"/>
  <c r="AJ447" i="1" s="1"/>
  <c r="AG447" i="1"/>
  <c r="P461" i="1"/>
  <c r="N461" i="1" s="1"/>
  <c r="O461" i="1"/>
  <c r="AX471" i="1"/>
  <c r="AX11" i="1" s="1"/>
  <c r="AX10" i="1" s="1"/>
  <c r="AX470" i="1"/>
  <c r="AG381" i="1"/>
  <c r="AG384" i="1"/>
  <c r="AM403" i="1"/>
  <c r="AL403" i="1"/>
  <c r="AL404" i="1" s="1"/>
  <c r="E404" i="1"/>
  <c r="F404" i="1" s="1"/>
  <c r="Z408" i="1"/>
  <c r="X408" i="1"/>
  <c r="AA408" i="1" s="1"/>
  <c r="P425" i="1"/>
  <c r="N425" i="1" s="1"/>
  <c r="AP430" i="1"/>
  <c r="AM430" i="1"/>
  <c r="AG430" i="1"/>
  <c r="AL430" i="1"/>
  <c r="AL431" i="1" s="1"/>
  <c r="AG433" i="1"/>
  <c r="AP433" i="1"/>
  <c r="AL442" i="1"/>
  <c r="AL443" i="1" s="1"/>
  <c r="AT471" i="1"/>
  <c r="AT11" i="1" s="1"/>
  <c r="AT10" i="1" s="1"/>
  <c r="AT470" i="1"/>
  <c r="AP475" i="1"/>
  <c r="AP473" i="1" s="1"/>
  <c r="AJ474" i="1"/>
  <c r="AJ472" i="1" s="1"/>
  <c r="AJ469" i="1" s="1"/>
  <c r="AM409" i="1"/>
  <c r="AL409" i="1"/>
  <c r="AL410" i="1" s="1"/>
  <c r="Z413" i="1"/>
  <c r="X413" i="1"/>
  <c r="AA413" i="1" s="1"/>
  <c r="AL438" i="1"/>
  <c r="AI438" i="1"/>
  <c r="AJ438" i="1" s="1"/>
  <c r="AF435" i="1"/>
  <c r="AJ460" i="1"/>
  <c r="AJ461" i="1" s="1"/>
  <c r="AI461" i="1"/>
  <c r="AS470" i="1"/>
  <c r="AS471" i="1"/>
  <c r="Q436" i="1"/>
  <c r="O435" i="1"/>
  <c r="O400" i="1" s="1"/>
  <c r="O135" i="1" s="1"/>
  <c r="N441" i="1"/>
  <c r="AJ448" i="1"/>
  <c r="AJ449" i="1" s="1"/>
  <c r="AI449" i="1"/>
  <c r="O458" i="1"/>
  <c r="AA477" i="1"/>
  <c r="AG474" i="1"/>
  <c r="AG472" i="1" s="1"/>
  <c r="AG469" i="1" s="1"/>
  <c r="AJ480" i="1"/>
  <c r="X425" i="1"/>
  <c r="AA425" i="1" s="1"/>
  <c r="Z439" i="1"/>
  <c r="X439" i="1"/>
  <c r="AA439" i="1" s="1"/>
  <c r="P442" i="1"/>
  <c r="N442" i="1" s="1"/>
  <c r="O442" i="1"/>
  <c r="AL445" i="1"/>
  <c r="AL446" i="1" s="1"/>
  <c r="AN445" i="1"/>
  <c r="AI445" i="1"/>
  <c r="AG445" i="1"/>
  <c r="AP453" i="1"/>
  <c r="AQ453" i="1" s="1"/>
  <c r="AI453" i="1"/>
  <c r="AJ453" i="1" s="1"/>
  <c r="AG453" i="1"/>
  <c r="E471" i="1"/>
  <c r="E470" i="1"/>
  <c r="BI470" i="1"/>
  <c r="BI471" i="1"/>
  <c r="O476" i="1"/>
  <c r="O474" i="1" s="1"/>
  <c r="O472" i="1" s="1"/>
  <c r="O469" i="1" s="1"/>
  <c r="N474" i="1"/>
  <c r="N472" i="1" s="1"/>
  <c r="N469" i="1" s="1"/>
  <c r="AA478" i="1"/>
  <c r="U475" i="1"/>
  <c r="U473" i="1" s="1"/>
  <c r="AA479" i="1"/>
  <c r="BF480" i="1"/>
  <c r="AI474" i="1"/>
  <c r="X384" i="1"/>
  <c r="AA384" i="1" s="1"/>
  <c r="X402" i="1"/>
  <c r="X419" i="1"/>
  <c r="AA419" i="1" s="1"/>
  <c r="X420" i="1"/>
  <c r="AA420" i="1" s="1"/>
  <c r="AG422" i="1"/>
  <c r="W424" i="1"/>
  <c r="AG425" i="1"/>
  <c r="AF424" i="1"/>
  <c r="Z433" i="1"/>
  <c r="X433" i="1"/>
  <c r="AA433" i="1" s="1"/>
  <c r="AP440" i="1"/>
  <c r="AQ440" i="1" s="1"/>
  <c r="AQ439" i="1"/>
  <c r="AJ457" i="1"/>
  <c r="AJ458" i="1" s="1"/>
  <c r="AI458" i="1"/>
  <c r="AQ460" i="1"/>
  <c r="BF470" i="1"/>
  <c r="Z471" i="1"/>
  <c r="U469" i="1"/>
  <c r="X474" i="1"/>
  <c r="X472" i="1" s="1"/>
  <c r="X469" i="1" s="1"/>
  <c r="X387" i="1"/>
  <c r="AA387" i="1" s="1"/>
  <c r="AP404" i="1"/>
  <c r="AQ404" i="1" s="1"/>
  <c r="X409" i="1"/>
  <c r="AA409" i="1" s="1"/>
  <c r="AG412" i="1"/>
  <c r="Q431" i="1"/>
  <c r="P430" i="1"/>
  <c r="N430" i="1" s="1"/>
  <c r="O430" i="1"/>
  <c r="AQ438" i="1"/>
  <c r="Q443" i="1"/>
  <c r="AA474" i="1"/>
  <c r="AA472" i="1" s="1"/>
  <c r="AA469" i="1" s="1"/>
  <c r="AI470" i="1"/>
  <c r="AI471" i="1"/>
  <c r="AD403" i="1"/>
  <c r="AD401" i="1" s="1"/>
  <c r="X432" i="1"/>
  <c r="AA432" i="1" s="1"/>
  <c r="P445" i="1"/>
  <c r="N445" i="1" s="1"/>
  <c r="O445" i="1"/>
  <c r="AR450" i="1"/>
  <c r="X448" i="1"/>
  <c r="AA448" i="1" s="1"/>
  <c r="AL453" i="1"/>
  <c r="BB470" i="1"/>
  <c r="BB471" i="1"/>
  <c r="BB11" i="1" s="1"/>
  <c r="BB10" i="1" s="1"/>
  <c r="AS469" i="1"/>
  <c r="P475" i="1"/>
  <c r="P473" i="1" s="1"/>
  <c r="Q477" i="1"/>
  <c r="Q475" i="1" s="1"/>
  <c r="Q473" i="1" s="1"/>
  <c r="N477" i="1"/>
  <c r="AA480" i="1"/>
  <c r="AP481" i="1"/>
  <c r="AQ481" i="1" s="1"/>
  <c r="W427" i="1"/>
  <c r="AL451" i="1"/>
  <c r="AL452" i="1" s="1"/>
  <c r="AL457" i="1"/>
  <c r="AL458" i="1" s="1"/>
  <c r="AI466" i="1"/>
  <c r="AA491" i="1"/>
  <c r="AA489" i="1" s="1"/>
  <c r="U489" i="1"/>
  <c r="AM434" i="1"/>
  <c r="AL465" i="1"/>
  <c r="AT462" i="1"/>
  <c r="AL441" i="1"/>
  <c r="AT450" i="1"/>
  <c r="O457" i="1"/>
  <c r="AI462" i="1"/>
  <c r="AJ462" i="1" s="1"/>
  <c r="N465" i="1"/>
  <c r="N466" i="1" s="1"/>
  <c r="N467" i="1" s="1"/>
  <c r="AI465" i="1"/>
  <c r="AJ465" i="1" s="1"/>
  <c r="AG475" i="1"/>
  <c r="AG473" i="1" s="1"/>
  <c r="AA490" i="1"/>
  <c r="AA488" i="1" s="1"/>
  <c r="U488" i="1"/>
  <c r="AK438" i="1"/>
  <c r="AI439" i="1" s="1"/>
  <c r="P448" i="1"/>
  <c r="N448" i="1" s="1"/>
  <c r="O449" i="1"/>
  <c r="AZ453" i="1"/>
  <c r="AI463" i="1"/>
  <c r="AL466" i="1"/>
  <c r="AL467" i="1" s="1"/>
  <c r="AJ477" i="1"/>
  <c r="AJ475" i="1" s="1"/>
  <c r="AJ473" i="1" s="1"/>
  <c r="AT444" i="1"/>
  <c r="AP444" i="1" s="1"/>
  <c r="AG444" i="1"/>
  <c r="BF444" i="1"/>
  <c r="AL448" i="1"/>
  <c r="AL449" i="1" s="1"/>
  <c r="AL460" i="1"/>
  <c r="AL461" i="1" s="1"/>
  <c r="AL462" i="1"/>
  <c r="N487" i="1"/>
  <c r="O487" i="1" s="1"/>
  <c r="AJ24" i="1" l="1"/>
  <c r="AG42" i="1"/>
  <c r="AG24" i="1" s="1"/>
  <c r="BI14" i="1"/>
  <c r="BI11" i="1"/>
  <c r="BI10" i="1" s="1"/>
  <c r="AW13" i="1"/>
  <c r="AW9" i="1" s="1"/>
  <c r="BQ119" i="1"/>
  <c r="AQ23" i="1"/>
  <c r="AP445" i="1"/>
  <c r="AP451" i="1" s="1"/>
  <c r="AQ444" i="1"/>
  <c r="AP450" i="1"/>
  <c r="AQ450" i="1" s="1"/>
  <c r="AT13" i="1"/>
  <c r="AT9" i="1" s="1"/>
  <c r="J381" i="1"/>
  <c r="J378" i="1"/>
  <c r="P471" i="1"/>
  <c r="P470" i="1"/>
  <c r="F286" i="1"/>
  <c r="F289" i="1"/>
  <c r="Z123" i="1"/>
  <c r="Z119" i="1" s="1"/>
  <c r="Z13" i="1" s="1"/>
  <c r="Z9" i="1" s="1"/>
  <c r="T119" i="1"/>
  <c r="T13" i="1" s="1"/>
  <c r="T9" i="1" s="1"/>
  <c r="U123" i="1"/>
  <c r="N34" i="1"/>
  <c r="P34" i="1" s="1"/>
  <c r="P33" i="1"/>
  <c r="AA402" i="1"/>
  <c r="AA400" i="1" s="1"/>
  <c r="AA135" i="1" s="1"/>
  <c r="X400" i="1"/>
  <c r="AQ448" i="1"/>
  <c r="AP449" i="1"/>
  <c r="AQ449" i="1" s="1"/>
  <c r="AP249" i="1"/>
  <c r="AQ249" i="1" s="1"/>
  <c r="AM249" i="1"/>
  <c r="AL249" i="1"/>
  <c r="AG249" i="1"/>
  <c r="F309" i="1"/>
  <c r="F312" i="1"/>
  <c r="F227" i="1"/>
  <c r="F224" i="1"/>
  <c r="P159" i="1"/>
  <c r="N159" i="1" s="1"/>
  <c r="O159" i="1"/>
  <c r="P28" i="1"/>
  <c r="P25" i="1" s="1"/>
  <c r="N25" i="1"/>
  <c r="AI446" i="1"/>
  <c r="AJ445" i="1"/>
  <c r="AJ446" i="1" s="1"/>
  <c r="Q437" i="1"/>
  <c r="P436" i="1"/>
  <c r="N436" i="1" s="1"/>
  <c r="O436" i="1"/>
  <c r="AP471" i="1"/>
  <c r="AP470" i="1"/>
  <c r="AM401" i="1"/>
  <c r="AM136" i="1" s="1"/>
  <c r="AM137" i="1" s="1"/>
  <c r="AM15" i="1" s="1"/>
  <c r="Y135" i="1"/>
  <c r="N401" i="1"/>
  <c r="P304" i="1"/>
  <c r="N304" i="1" s="1"/>
  <c r="O304" i="1"/>
  <c r="AP278" i="1"/>
  <c r="AQ278" i="1" s="1"/>
  <c r="AM278" i="1"/>
  <c r="AG278" i="1"/>
  <c r="P295" i="1"/>
  <c r="N295" i="1" s="1"/>
  <c r="O295" i="1"/>
  <c r="Z224" i="1"/>
  <c r="P156" i="1"/>
  <c r="N156" i="1" s="1"/>
  <c r="O156" i="1"/>
  <c r="Z179" i="1"/>
  <c r="X179" i="1"/>
  <c r="AA179" i="1" s="1"/>
  <c r="AQ263" i="1"/>
  <c r="E204" i="1"/>
  <c r="E136" i="1" s="1"/>
  <c r="E137" i="1" s="1"/>
  <c r="F206" i="1"/>
  <c r="F204" i="1" s="1"/>
  <c r="X245" i="1"/>
  <c r="AA250" i="1"/>
  <c r="AA245" i="1" s="1"/>
  <c r="P202" i="1"/>
  <c r="N202" i="1" s="1"/>
  <c r="O202" i="1"/>
  <c r="Z165" i="1"/>
  <c r="X165" i="1"/>
  <c r="AA165" i="1" s="1"/>
  <c r="Q131" i="1"/>
  <c r="P130" i="1"/>
  <c r="P24" i="1"/>
  <c r="AQ248" i="1"/>
  <c r="AQ246" i="1" s="1"/>
  <c r="AP246" i="1"/>
  <c r="AQ110" i="1"/>
  <c r="AP111" i="1"/>
  <c r="AJ439" i="1"/>
  <c r="AJ440" i="1" s="1"/>
  <c r="AI440" i="1"/>
  <c r="AJ144" i="1"/>
  <c r="AI139" i="1"/>
  <c r="AI145" i="1"/>
  <c r="P241" i="1"/>
  <c r="N241" i="1" s="1"/>
  <c r="O241" i="1"/>
  <c r="P262" i="1"/>
  <c r="N264" i="1"/>
  <c r="N262" i="1" s="1"/>
  <c r="AA226" i="1"/>
  <c r="AA224" i="1" s="1"/>
  <c r="X224" i="1"/>
  <c r="AP263" i="1"/>
  <c r="O43" i="1"/>
  <c r="Q42" i="1"/>
  <c r="Q24" i="1" s="1"/>
  <c r="O24" i="1"/>
  <c r="AY14" i="1"/>
  <c r="AY11" i="1"/>
  <c r="AY10" i="1" s="1"/>
  <c r="X427" i="1"/>
  <c r="AA427" i="1" s="1"/>
  <c r="Z427" i="1"/>
  <c r="AI472" i="1"/>
  <c r="AI469" i="1" s="1"/>
  <c r="BF474" i="1"/>
  <c r="BF472" i="1" s="1"/>
  <c r="BF469" i="1" s="1"/>
  <c r="BQ469" i="1" s="1"/>
  <c r="P464" i="1"/>
  <c r="N464" i="1" s="1"/>
  <c r="O464" i="1"/>
  <c r="P332" i="1"/>
  <c r="P278" i="1"/>
  <c r="N278" i="1" s="1"/>
  <c r="O278" i="1"/>
  <c r="AP272" i="1"/>
  <c r="AQ272" i="1" s="1"/>
  <c r="AG272" i="1"/>
  <c r="AM272" i="1"/>
  <c r="AG258" i="1"/>
  <c r="AP258" i="1"/>
  <c r="AQ258" i="1" s="1"/>
  <c r="AM258" i="1"/>
  <c r="AA176" i="1"/>
  <c r="X203" i="1"/>
  <c r="N94" i="1"/>
  <c r="P94" i="1" s="1"/>
  <c r="P93" i="1"/>
  <c r="AC13" i="1"/>
  <c r="N129" i="1"/>
  <c r="N119" i="1" s="1"/>
  <c r="O130" i="1"/>
  <c r="O119" i="1"/>
  <c r="O13" i="1" s="1"/>
  <c r="O9" i="1" s="1"/>
  <c r="AI100" i="1"/>
  <c r="AI43" i="1" s="1"/>
  <c r="AI25" i="1" s="1"/>
  <c r="AG100" i="1"/>
  <c r="AJ100" i="1" s="1"/>
  <c r="AN100" i="1"/>
  <c r="AN43" i="1" s="1"/>
  <c r="AN25" i="1" s="1"/>
  <c r="AF43" i="1"/>
  <c r="AF25" i="1" s="1"/>
  <c r="AP120" i="1"/>
  <c r="F179" i="1"/>
  <c r="F176" i="1"/>
  <c r="BD14" i="1"/>
  <c r="AG213" i="1"/>
  <c r="AG204" i="1"/>
  <c r="AJ204" i="1" s="1"/>
  <c r="P153" i="1"/>
  <c r="N153" i="1" s="1"/>
  <c r="O153" i="1"/>
  <c r="AG119" i="1"/>
  <c r="I25" i="1"/>
  <c r="J43" i="1"/>
  <c r="J25" i="1" s="1"/>
  <c r="E43" i="1"/>
  <c r="N43" i="1"/>
  <c r="P43" i="1" s="1"/>
  <c r="P42" i="1"/>
  <c r="T14" i="1"/>
  <c r="T12" i="1"/>
  <c r="AP23" i="1"/>
  <c r="P135" i="1"/>
  <c r="P13" i="1" s="1"/>
  <c r="P9" i="1" s="1"/>
  <c r="Q135" i="1"/>
  <c r="Q13" i="1" s="1"/>
  <c r="Q9" i="1" s="1"/>
  <c r="AL355" i="1"/>
  <c r="AC136" i="1"/>
  <c r="N226" i="1"/>
  <c r="N224" i="1" s="1"/>
  <c r="P224" i="1"/>
  <c r="AJ471" i="1"/>
  <c r="AJ470" i="1"/>
  <c r="AD136" i="1"/>
  <c r="AD137" i="1" s="1"/>
  <c r="AD15" i="1" s="1"/>
  <c r="O431" i="1"/>
  <c r="P431" i="1"/>
  <c r="N431" i="1" s="1"/>
  <c r="AP424" i="1"/>
  <c r="AG424" i="1"/>
  <c r="AM424" i="1"/>
  <c r="AL424" i="1"/>
  <c r="AL425" i="1" s="1"/>
  <c r="AG470" i="1"/>
  <c r="AG471" i="1"/>
  <c r="AA475" i="1"/>
  <c r="AA473" i="1" s="1"/>
  <c r="AP431" i="1"/>
  <c r="AQ431" i="1" s="1"/>
  <c r="AQ430" i="1"/>
  <c r="AP428" i="1"/>
  <c r="AQ428" i="1" s="1"/>
  <c r="AQ427" i="1"/>
  <c r="AP474" i="1"/>
  <c r="AP472" i="1" s="1"/>
  <c r="AP469" i="1" s="1"/>
  <c r="AQ476" i="1"/>
  <c r="AQ474" i="1" s="1"/>
  <c r="AQ472" i="1" s="1"/>
  <c r="AQ469" i="1" s="1"/>
  <c r="P419" i="1"/>
  <c r="N419" i="1" s="1"/>
  <c r="O419" i="1"/>
  <c r="P393" i="1"/>
  <c r="N393" i="1" s="1"/>
  <c r="O393" i="1"/>
  <c r="P311" i="1"/>
  <c r="O311" i="1"/>
  <c r="O309" i="1" s="1"/>
  <c r="Q312" i="1"/>
  <c r="Q309" i="1"/>
  <c r="P347" i="1"/>
  <c r="N347" i="1" s="1"/>
  <c r="O347" i="1"/>
  <c r="N332" i="1"/>
  <c r="I136" i="1"/>
  <c r="I137" i="1" s="1"/>
  <c r="I15" i="1" s="1"/>
  <c r="O364" i="1"/>
  <c r="P364" i="1"/>
  <c r="N364" i="1" s="1"/>
  <c r="X249" i="1"/>
  <c r="AA249" i="1" s="1"/>
  <c r="Z249" i="1"/>
  <c r="X213" i="1"/>
  <c r="AA213" i="1" s="1"/>
  <c r="AA212" i="1"/>
  <c r="J179" i="1"/>
  <c r="J176" i="1"/>
  <c r="J136" i="1" s="1"/>
  <c r="J137" i="1" s="1"/>
  <c r="J15" i="1" s="1"/>
  <c r="AJ265" i="1"/>
  <c r="AI266" i="1"/>
  <c r="AI263" i="1"/>
  <c r="Z238" i="1"/>
  <c r="X238" i="1"/>
  <c r="AA238" i="1" s="1"/>
  <c r="AD358" i="1"/>
  <c r="AD355" i="1"/>
  <c r="N88" i="1"/>
  <c r="P88" i="1" s="1"/>
  <c r="P87" i="1"/>
  <c r="X176" i="1"/>
  <c r="P139" i="1"/>
  <c r="N144" i="1"/>
  <c r="N139" i="1" s="1"/>
  <c r="P193" i="1"/>
  <c r="N193" i="1" s="1"/>
  <c r="O193" i="1"/>
  <c r="Z120" i="1"/>
  <c r="BQ135" i="1"/>
  <c r="O125" i="1"/>
  <c r="O121" i="1" s="1"/>
  <c r="N121" i="1"/>
  <c r="AQ99" i="1"/>
  <c r="AP100" i="1"/>
  <c r="AP42" i="1"/>
  <c r="AV14" i="1"/>
  <c r="AS9" i="1"/>
  <c r="AI213" i="1"/>
  <c r="AJ212" i="1"/>
  <c r="AJ213" i="1" s="1"/>
  <c r="N152" i="1"/>
  <c r="N147" i="1" s="1"/>
  <c r="P147" i="1"/>
  <c r="AJ119" i="1"/>
  <c r="AQ471" i="1"/>
  <c r="AQ470" i="1"/>
  <c r="AQ454" i="1"/>
  <c r="AP455" i="1"/>
  <c r="AQ455" i="1" s="1"/>
  <c r="N360" i="1"/>
  <c r="N355" i="1" s="1"/>
  <c r="P355" i="1"/>
  <c r="AG43" i="1"/>
  <c r="AI443" i="1"/>
  <c r="AJ442" i="1"/>
  <c r="AJ443" i="1" s="1"/>
  <c r="P404" i="1"/>
  <c r="N404" i="1" s="1"/>
  <c r="O404" i="1"/>
  <c r="P401" i="1"/>
  <c r="AI110" i="1"/>
  <c r="AI23" i="1" s="1"/>
  <c r="BF110" i="1"/>
  <c r="BF23" i="1" s="1"/>
  <c r="BF13" i="1" s="1"/>
  <c r="AL110" i="1"/>
  <c r="AG110" i="1"/>
  <c r="AJ110" i="1" s="1"/>
  <c r="AJ23" i="1" s="1"/>
  <c r="AJ463" i="1"/>
  <c r="AJ464" i="1" s="1"/>
  <c r="AI464" i="1"/>
  <c r="Z424" i="1"/>
  <c r="X424" i="1"/>
  <c r="AA424" i="1" s="1"/>
  <c r="Z421" i="1"/>
  <c r="X421" i="1"/>
  <c r="AA421" i="1" s="1"/>
  <c r="AJ379" i="1"/>
  <c r="AJ377" i="1" s="1"/>
  <c r="AI377" i="1"/>
  <c r="AP418" i="1"/>
  <c r="AM418" i="1"/>
  <c r="AL418" i="1"/>
  <c r="AL419" i="1" s="1"/>
  <c r="AI403" i="1"/>
  <c r="AF401" i="1"/>
  <c r="AG418" i="1"/>
  <c r="AG401" i="1" s="1"/>
  <c r="O378" i="1"/>
  <c r="P358" i="1"/>
  <c r="N358" i="1" s="1"/>
  <c r="O358" i="1"/>
  <c r="O344" i="1"/>
  <c r="P344" i="1"/>
  <c r="N344" i="1" s="1"/>
  <c r="O315" i="1"/>
  <c r="P315" i="1"/>
  <c r="N315" i="1" s="1"/>
  <c r="Q401" i="1"/>
  <c r="Q136" i="1" s="1"/>
  <c r="Q137" i="1" s="1"/>
  <c r="P258" i="1"/>
  <c r="N258" i="1" s="1"/>
  <c r="O258" i="1"/>
  <c r="X204" i="1"/>
  <c r="AA206" i="1"/>
  <c r="AA204" i="1" s="1"/>
  <c r="P207" i="1"/>
  <c r="N207" i="1" s="1"/>
  <c r="O207" i="1"/>
  <c r="AG246" i="1"/>
  <c r="P244" i="1"/>
  <c r="N244" i="1" s="1"/>
  <c r="O244" i="1"/>
  <c r="AA140" i="1"/>
  <c r="AA138" i="1" s="1"/>
  <c r="X138" i="1"/>
  <c r="O263" i="1"/>
  <c r="AA237" i="1"/>
  <c r="AA235" i="1" s="1"/>
  <c r="X235" i="1"/>
  <c r="AA189" i="1"/>
  <c r="AA184" i="1" s="1"/>
  <c r="X190" i="1"/>
  <c r="AA190" i="1" s="1"/>
  <c r="X184" i="1"/>
  <c r="P246" i="1"/>
  <c r="N248" i="1"/>
  <c r="N246" i="1" s="1"/>
  <c r="N191" i="1"/>
  <c r="N183" i="1" s="1"/>
  <c r="P183" i="1"/>
  <c r="O187" i="1"/>
  <c r="P187" i="1"/>
  <c r="N187" i="1" s="1"/>
  <c r="N82" i="1"/>
  <c r="P82" i="1" s="1"/>
  <c r="P81" i="1"/>
  <c r="P145" i="1"/>
  <c r="N145" i="1" s="1"/>
  <c r="O145" i="1"/>
  <c r="P361" i="1"/>
  <c r="N361" i="1" s="1"/>
  <c r="O361" i="1"/>
  <c r="Q121" i="1"/>
  <c r="P121" i="1"/>
  <c r="P179" i="1"/>
  <c r="N179" i="1" s="1"/>
  <c r="O179" i="1"/>
  <c r="X149" i="1"/>
  <c r="AA150" i="1"/>
  <c r="AR157" i="1"/>
  <c r="AR146" i="1" s="1"/>
  <c r="AR135" i="1" s="1"/>
  <c r="AI120" i="1"/>
  <c r="N49" i="1"/>
  <c r="P49" i="1" s="1"/>
  <c r="P48" i="1"/>
  <c r="N135" i="1"/>
  <c r="N268" i="1"/>
  <c r="N263" i="1" s="1"/>
  <c r="P263" i="1"/>
  <c r="P249" i="1"/>
  <c r="N249" i="1" s="1"/>
  <c r="O249" i="1"/>
  <c r="Z159" i="1"/>
  <c r="X159" i="1"/>
  <c r="AA159" i="1" s="1"/>
  <c r="N186" i="1"/>
  <c r="N184" i="1" s="1"/>
  <c r="P184" i="1"/>
  <c r="N91" i="1"/>
  <c r="P91" i="1" s="1"/>
  <c r="P90" i="1"/>
  <c r="BR119" i="1"/>
  <c r="O477" i="1"/>
  <c r="O475" i="1" s="1"/>
  <c r="O473" i="1" s="1"/>
  <c r="N475" i="1"/>
  <c r="N473" i="1" s="1"/>
  <c r="U470" i="1"/>
  <c r="U471" i="1"/>
  <c r="U11" i="1" s="1"/>
  <c r="BF438" i="1"/>
  <c r="BQ435" i="1" s="1"/>
  <c r="BR435" i="1" s="1"/>
  <c r="AI436" i="1"/>
  <c r="AG436" i="1"/>
  <c r="AN436" i="1"/>
  <c r="AN401" i="1" s="1"/>
  <c r="AN136" i="1" s="1"/>
  <c r="AN137" i="1" s="1"/>
  <c r="AL436" i="1"/>
  <c r="AL437" i="1" s="1"/>
  <c r="AF437" i="1"/>
  <c r="AB135" i="1"/>
  <c r="AQ441" i="1"/>
  <c r="AP442" i="1"/>
  <c r="Z401" i="1"/>
  <c r="Z136" i="1" s="1"/>
  <c r="Z137" i="1" s="1"/>
  <c r="Z15" i="1" s="1"/>
  <c r="N380" i="1"/>
  <c r="N378" i="1" s="1"/>
  <c r="P378" i="1"/>
  <c r="F355" i="1"/>
  <c r="F358" i="1"/>
  <c r="T10" i="1"/>
  <c r="P327" i="1"/>
  <c r="N327" i="1" s="1"/>
  <c r="O327" i="1"/>
  <c r="BQ400" i="1"/>
  <c r="P413" i="1"/>
  <c r="N413" i="1" s="1"/>
  <c r="O413" i="1"/>
  <c r="O275" i="1"/>
  <c r="P275" i="1"/>
  <c r="N275" i="1" s="1"/>
  <c r="P269" i="1"/>
  <c r="N269" i="1" s="1"/>
  <c r="O269" i="1"/>
  <c r="P286" i="1"/>
  <c r="P171" i="1"/>
  <c r="N171" i="1" s="1"/>
  <c r="O171" i="1"/>
  <c r="AA236" i="1"/>
  <c r="AA234" i="1" s="1"/>
  <c r="X234" i="1"/>
  <c r="AJ134" i="1"/>
  <c r="AJ121" i="1" s="1"/>
  <c r="AG121" i="1"/>
  <c r="P266" i="1"/>
  <c r="N266" i="1" s="1"/>
  <c r="O266" i="1"/>
  <c r="X183" i="1"/>
  <c r="AA188" i="1"/>
  <c r="AA183" i="1" s="1"/>
  <c r="AA148" i="1"/>
  <c r="AA146" i="1" s="1"/>
  <c r="X146" i="1"/>
  <c r="P237" i="1"/>
  <c r="O237" i="1"/>
  <c r="O235" i="1" s="1"/>
  <c r="Q235" i="1"/>
  <c r="Q238" i="1"/>
  <c r="AP269" i="1"/>
  <c r="AQ269" i="1" s="1"/>
  <c r="AM269" i="1"/>
  <c r="AG269" i="1"/>
  <c r="AA270" i="1"/>
  <c r="AA262" i="1" s="1"/>
  <c r="X262" i="1"/>
  <c r="E23" i="1"/>
  <c r="E13" i="1" s="1"/>
  <c r="E9" i="1" s="1"/>
  <c r="F41" i="1"/>
  <c r="F23" i="1" s="1"/>
  <c r="F13" i="1" s="1"/>
  <c r="F9" i="1" s="1"/>
  <c r="AD43" i="1"/>
  <c r="AD25" i="1" s="1"/>
  <c r="AL43" i="1"/>
  <c r="AC25" i="1"/>
  <c r="X193" i="1"/>
  <c r="AA193" i="1" s="1"/>
  <c r="AA192" i="1"/>
  <c r="AM213" i="1"/>
  <c r="AL213" i="1"/>
  <c r="AJ466" i="1"/>
  <c r="AJ467" i="1" s="1"/>
  <c r="AI467" i="1"/>
  <c r="E121" i="1"/>
  <c r="E120" i="1" s="1"/>
  <c r="F125" i="1"/>
  <c r="F121" i="1" s="1"/>
  <c r="AL204" i="1"/>
  <c r="AI204" i="1"/>
  <c r="Q471" i="1"/>
  <c r="Q470" i="1"/>
  <c r="P443" i="1"/>
  <c r="N443" i="1" s="1"/>
  <c r="O443" i="1"/>
  <c r="AH494" i="1"/>
  <c r="AG496" i="1" s="1"/>
  <c r="AG435" i="1"/>
  <c r="AG400" i="1" s="1"/>
  <c r="AG135" i="1" s="1"/>
  <c r="AL435" i="1"/>
  <c r="AI435" i="1"/>
  <c r="AF400" i="1"/>
  <c r="AQ433" i="1"/>
  <c r="AP434" i="1"/>
  <c r="AQ434" i="1" s="1"/>
  <c r="X415" i="1"/>
  <c r="AA415" i="1" s="1"/>
  <c r="AA401" i="1" s="1"/>
  <c r="AA416" i="1"/>
  <c r="AP400" i="1"/>
  <c r="AP135" i="1" s="1"/>
  <c r="AP13" i="1" s="1"/>
  <c r="AP9" i="1" s="1"/>
  <c r="AQ417" i="1"/>
  <c r="AQ400" i="1" s="1"/>
  <c r="AQ135" i="1" s="1"/>
  <c r="P390" i="1"/>
  <c r="N390" i="1" s="1"/>
  <c r="O390" i="1"/>
  <c r="AI455" i="1"/>
  <c r="AJ454" i="1"/>
  <c r="AJ455" i="1" s="1"/>
  <c r="W135" i="1"/>
  <c r="W13" i="1" s="1"/>
  <c r="W9" i="1" s="1"/>
  <c r="P292" i="1"/>
  <c r="N292" i="1" s="1"/>
  <c r="O292" i="1"/>
  <c r="O401" i="1"/>
  <c r="O136" i="1" s="1"/>
  <c r="O137" i="1" s="1"/>
  <c r="P321" i="1"/>
  <c r="N321" i="1" s="1"/>
  <c r="O321" i="1"/>
  <c r="AI246" i="1"/>
  <c r="AJ248" i="1"/>
  <c r="AI249" i="1"/>
  <c r="O261" i="1"/>
  <c r="P261" i="1"/>
  <c r="N261" i="1" s="1"/>
  <c r="AA248" i="1"/>
  <c r="AA246" i="1" s="1"/>
  <c r="X246" i="1"/>
  <c r="X210" i="1"/>
  <c r="AA210" i="1" s="1"/>
  <c r="AA209" i="1"/>
  <c r="O184" i="1"/>
  <c r="X156" i="1"/>
  <c r="AA156" i="1" s="1"/>
  <c r="AA155" i="1"/>
  <c r="AD122" i="1"/>
  <c r="AJ131" i="1"/>
  <c r="AJ122" i="1" s="1"/>
  <c r="AJ16" i="1" s="1"/>
  <c r="AJ12" i="1" s="1"/>
  <c r="P162" i="1"/>
  <c r="N162" i="1" s="1"/>
  <c r="O162" i="1"/>
  <c r="N178" i="1"/>
  <c r="N176" i="1" s="1"/>
  <c r="P176" i="1"/>
  <c r="AA131" i="1"/>
  <c r="AA122" i="1" s="1"/>
  <c r="AA16" i="1" s="1"/>
  <c r="AA12" i="1" s="1"/>
  <c r="U122" i="1"/>
  <c r="Z149" i="1"/>
  <c r="Z147" i="1" s="1"/>
  <c r="W147" i="1"/>
  <c r="W136" i="1" s="1"/>
  <c r="W137" i="1" s="1"/>
  <c r="W15" i="1" s="1"/>
  <c r="AQ13" i="1" l="1"/>
  <c r="AQ9" i="1" s="1"/>
  <c r="AL25" i="1"/>
  <c r="J11" i="1"/>
  <c r="J10" i="1" s="1"/>
  <c r="J14" i="1"/>
  <c r="AD11" i="1"/>
  <c r="AD10" i="1" s="1"/>
  <c r="AQ451" i="1"/>
  <c r="AP452" i="1"/>
  <c r="AQ452" i="1" s="1"/>
  <c r="W14" i="1"/>
  <c r="W11" i="1"/>
  <c r="W10" i="1" s="1"/>
  <c r="AA136" i="1"/>
  <c r="AA137" i="1" s="1"/>
  <c r="AA15" i="1" s="1"/>
  <c r="AJ435" i="1"/>
  <c r="AJ400" i="1" s="1"/>
  <c r="AJ135" i="1" s="1"/>
  <c r="AJ13" i="1" s="1"/>
  <c r="AJ9" i="1" s="1"/>
  <c r="AI400" i="1"/>
  <c r="U120" i="1"/>
  <c r="U16" i="1"/>
  <c r="F120" i="1"/>
  <c r="P235" i="1"/>
  <c r="P136" i="1" s="1"/>
  <c r="P137" i="1" s="1"/>
  <c r="P15" i="1" s="1"/>
  <c r="N237" i="1"/>
  <c r="N235" i="1" s="1"/>
  <c r="AJ120" i="1"/>
  <c r="AG437" i="1"/>
  <c r="AN437" i="1"/>
  <c r="N470" i="1"/>
  <c r="N471" i="1"/>
  <c r="AI401" i="1"/>
  <c r="AI136" i="1" s="1"/>
  <c r="AI137" i="1" s="1"/>
  <c r="AI15" i="1" s="1"/>
  <c r="AI404" i="1"/>
  <c r="AJ403" i="1"/>
  <c r="AJ266" i="1"/>
  <c r="AJ263" i="1"/>
  <c r="N311" i="1"/>
  <c r="N309" i="1" s="1"/>
  <c r="N136" i="1" s="1"/>
  <c r="N137" i="1" s="1"/>
  <c r="N15" i="1" s="1"/>
  <c r="P309" i="1"/>
  <c r="F136" i="1"/>
  <c r="F137" i="1" s="1"/>
  <c r="O131" i="1"/>
  <c r="N130" i="1"/>
  <c r="AA120" i="1"/>
  <c r="Z11" i="1"/>
  <c r="Z10" i="1" s="1"/>
  <c r="Z14" i="1"/>
  <c r="P238" i="1"/>
  <c r="N238" i="1" s="1"/>
  <c r="O238" i="1"/>
  <c r="AG25" i="1"/>
  <c r="AJ43" i="1"/>
  <c r="AJ25" i="1" s="1"/>
  <c r="AP425" i="1"/>
  <c r="AQ425" i="1" s="1"/>
  <c r="AQ424" i="1"/>
  <c r="AG13" i="1"/>
  <c r="AG9" i="1" s="1"/>
  <c r="N13" i="1"/>
  <c r="N9" i="1" s="1"/>
  <c r="X401" i="1"/>
  <c r="AQ111" i="1"/>
  <c r="AP112" i="1"/>
  <c r="AQ112" i="1" s="1"/>
  <c r="P437" i="1"/>
  <c r="N437" i="1" s="1"/>
  <c r="O437" i="1"/>
  <c r="AF135" i="1"/>
  <c r="AL400" i="1"/>
  <c r="AI437" i="1"/>
  <c r="AJ436" i="1"/>
  <c r="AJ437" i="1" s="1"/>
  <c r="AD16" i="1"/>
  <c r="AD12" i="1" s="1"/>
  <c r="AD120" i="1"/>
  <c r="O470" i="1"/>
  <c r="O471" i="1"/>
  <c r="AN15" i="1"/>
  <c r="BQ13" i="1"/>
  <c r="P131" i="1"/>
  <c r="P122" i="1" s="1"/>
  <c r="P16" i="1" s="1"/>
  <c r="P12" i="1" s="1"/>
  <c r="Q122" i="1"/>
  <c r="Q16" i="1" s="1"/>
  <c r="Q12" i="1" s="1"/>
  <c r="AA123" i="1"/>
  <c r="AA119" i="1" s="1"/>
  <c r="AA13" i="1" s="1"/>
  <c r="AA9" i="1" s="1"/>
  <c r="U119" i="1"/>
  <c r="U13" i="1" s="1"/>
  <c r="U9" i="1" s="1"/>
  <c r="AG120" i="1"/>
  <c r="AF136" i="1"/>
  <c r="AF137" i="1" s="1"/>
  <c r="AF15" i="1" s="1"/>
  <c r="AL401" i="1"/>
  <c r="AJ249" i="1"/>
  <c r="AJ246" i="1"/>
  <c r="I14" i="1"/>
  <c r="I11" i="1"/>
  <c r="I10" i="1" s="1"/>
  <c r="X147" i="1"/>
  <c r="AA149" i="1"/>
  <c r="AA147" i="1" s="1"/>
  <c r="AP419" i="1"/>
  <c r="AQ419" i="1" s="1"/>
  <c r="AQ418" i="1"/>
  <c r="AQ401" i="1" s="1"/>
  <c r="AQ136" i="1" s="1"/>
  <c r="AQ137" i="1" s="1"/>
  <c r="AP401" i="1"/>
  <c r="AP136" i="1" s="1"/>
  <c r="AP137" i="1" s="1"/>
  <c r="AA470" i="1"/>
  <c r="AA471" i="1"/>
  <c r="AC137" i="1"/>
  <c r="AL136" i="1"/>
  <c r="AC9" i="1"/>
  <c r="X135" i="1"/>
  <c r="X13" i="1" s="1"/>
  <c r="X9" i="1" s="1"/>
  <c r="AP24" i="1"/>
  <c r="AQ42" i="1"/>
  <c r="AQ24" i="1" s="1"/>
  <c r="F43" i="1"/>
  <c r="F25" i="1" s="1"/>
  <c r="F15" i="1" s="1"/>
  <c r="E25" i="1"/>
  <c r="E15" i="1" s="1"/>
  <c r="Q43" i="1"/>
  <c r="Q25" i="1" s="1"/>
  <c r="Q15" i="1" s="1"/>
  <c r="O25" i="1"/>
  <c r="O15" i="1" s="1"/>
  <c r="AM11" i="1"/>
  <c r="AM10" i="1" s="1"/>
  <c r="AM14" i="1"/>
  <c r="BQ23" i="1"/>
  <c r="BR23" i="1" s="1"/>
  <c r="AP443" i="1"/>
  <c r="AQ443" i="1" s="1"/>
  <c r="AQ442" i="1"/>
  <c r="AQ100" i="1"/>
  <c r="AP43" i="1"/>
  <c r="BR469" i="1"/>
  <c r="AG136" i="1"/>
  <c r="AG137" i="1" s="1"/>
  <c r="AG15" i="1" s="1"/>
  <c r="BF9" i="1"/>
  <c r="BQ9" i="1" s="1"/>
  <c r="P312" i="1"/>
  <c r="N312" i="1" s="1"/>
  <c r="O312" i="1"/>
  <c r="AJ145" i="1"/>
  <c r="AJ139" i="1"/>
  <c r="AQ445" i="1"/>
  <c r="AP446" i="1"/>
  <c r="AQ446" i="1" s="1"/>
  <c r="F14" i="1" l="1"/>
  <c r="F11" i="1"/>
  <c r="F10" i="1" s="1"/>
  <c r="E14" i="1"/>
  <c r="E11" i="1"/>
  <c r="E10" i="1" s="1"/>
  <c r="N11" i="1"/>
  <c r="P11" i="1"/>
  <c r="P10" i="1" s="1"/>
  <c r="P14" i="1"/>
  <c r="AG14" i="1"/>
  <c r="AG11" i="1"/>
  <c r="AG10" i="1" s="1"/>
  <c r="O11" i="1"/>
  <c r="AI11" i="1"/>
  <c r="AI10" i="1" s="1"/>
  <c r="AI14" i="1"/>
  <c r="AL135" i="1"/>
  <c r="AF13" i="1"/>
  <c r="AP15" i="1"/>
  <c r="Q120" i="1"/>
  <c r="U12" i="1"/>
  <c r="U10" i="1" s="1"/>
  <c r="U14" i="1"/>
  <c r="X136" i="1"/>
  <c r="X137" i="1" s="1"/>
  <c r="X15" i="1" s="1"/>
  <c r="AA11" i="1"/>
  <c r="AA10" i="1" s="1"/>
  <c r="AA14" i="1"/>
  <c r="AF14" i="1"/>
  <c r="AF11" i="1"/>
  <c r="AF10" i="1" s="1"/>
  <c r="AN11" i="1"/>
  <c r="AN10" i="1" s="1"/>
  <c r="AN14" i="1"/>
  <c r="N131" i="1"/>
  <c r="N122" i="1" s="1"/>
  <c r="O122" i="1"/>
  <c r="AJ401" i="1"/>
  <c r="AJ136" i="1" s="1"/>
  <c r="AJ137" i="1" s="1"/>
  <c r="AJ15" i="1" s="1"/>
  <c r="AJ404" i="1"/>
  <c r="P120" i="1"/>
  <c r="AL137" i="1"/>
  <c r="AC15" i="1"/>
  <c r="AQ43" i="1"/>
  <c r="AQ25" i="1" s="1"/>
  <c r="AQ15" i="1" s="1"/>
  <c r="AP25" i="1"/>
  <c r="Q14" i="1"/>
  <c r="Q11" i="1"/>
  <c r="Q10" i="1" s="1"/>
  <c r="BR400" i="1"/>
  <c r="AI135" i="1"/>
  <c r="AD14" i="1"/>
  <c r="AQ14" i="1" l="1"/>
  <c r="AQ11" i="1"/>
  <c r="AQ10" i="1" s="1"/>
  <c r="AF9" i="1"/>
  <c r="AL9" i="1" s="1"/>
  <c r="AL13" i="1"/>
  <c r="AJ11" i="1"/>
  <c r="AJ10" i="1" s="1"/>
  <c r="AJ14" i="1"/>
  <c r="AL15" i="1"/>
  <c r="AC11" i="1"/>
  <c r="AC14" i="1"/>
  <c r="AL14" i="1" s="1"/>
  <c r="BR135" i="1"/>
  <c r="AI13" i="1"/>
  <c r="AP14" i="1"/>
  <c r="AP11" i="1"/>
  <c r="AP10" i="1" s="1"/>
  <c r="O16" i="1"/>
  <c r="O120" i="1"/>
  <c r="N16" i="1"/>
  <c r="N120" i="1"/>
  <c r="X11" i="1"/>
  <c r="X10" i="1" s="1"/>
  <c r="X14" i="1"/>
  <c r="O12" i="1" l="1"/>
  <c r="O10" i="1" s="1"/>
  <c r="O14" i="1"/>
  <c r="N12" i="1"/>
  <c r="N10" i="1" s="1"/>
  <c r="N14" i="1"/>
  <c r="AL11" i="1"/>
  <c r="AC10" i="1"/>
  <c r="AL10" i="1" s="1"/>
  <c r="BR13" i="1"/>
  <c r="AI9" i="1"/>
  <c r="BR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Айгерим Р. Омарова</author>
    <author>Асель М. Кузетова</author>
  </authors>
  <commentList>
    <comment ref="R44" authorId="0" shapeId="0" xr:uid="{320A233D-FE37-4FEB-914D-8DC66DCB6BA4}">
      <text>
        <r>
          <rPr>
            <b/>
            <sz val="9"/>
            <color indexed="81"/>
            <rFont val="Tahoma"/>
            <family val="2"/>
            <charset val="204"/>
          </rPr>
          <t>Айгерим Р. Омарова:</t>
        </r>
        <r>
          <rPr>
            <sz val="9"/>
            <color indexed="81"/>
            <rFont val="Tahoma"/>
            <family val="2"/>
            <charset val="204"/>
          </rPr>
          <t xml:space="preserve">
срок поставки</t>
        </r>
      </text>
    </comment>
    <comment ref="R47" authorId="0" shapeId="0" xr:uid="{7CA015CB-D08D-4848-BA05-81EB1308441A}">
      <text>
        <r>
          <rPr>
            <b/>
            <sz val="9"/>
            <color indexed="81"/>
            <rFont val="Tahoma"/>
            <family val="2"/>
            <charset val="204"/>
          </rPr>
          <t>Айгерим Р. Омарова:</t>
        </r>
        <r>
          <rPr>
            <sz val="9"/>
            <color indexed="81"/>
            <rFont val="Tahoma"/>
            <family val="2"/>
            <charset val="204"/>
          </rPr>
          <t xml:space="preserve">
срок поставки</t>
        </r>
      </text>
    </comment>
    <comment ref="W140" authorId="1" shapeId="0" xr:uid="{2E5E3495-CAEA-4EEA-A7E5-1286DCB73B84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56484
к.п. 4436
ж.д.тариф 4
з/ч 6388</t>
        </r>
      </text>
    </comment>
    <comment ref="AI140" authorId="1" shapeId="0" xr:uid="{1E51F91B-7146-4830-A25D-E112811B3CCA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=AK122*$AC$122/$AE$122+AF122-AC122/AE122*AH122</t>
        </r>
      </text>
    </comment>
    <comment ref="AI141" authorId="1" shapeId="0" xr:uid="{EE97C1CB-47D8-4E5C-8DA3-A188EA053274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=AK122*$AC$123/$AE$122+AF123-AC123/AE122*AH122</t>
        </r>
      </text>
    </comment>
    <comment ref="W143" authorId="1" shapeId="0" xr:uid="{5ED883DB-0784-48C1-80C9-843470BC8D0E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9712
к.п. 0
ж.д.тариф 0
з/ч 2738</t>
        </r>
      </text>
    </comment>
    <comment ref="AI143" authorId="1" shapeId="0" xr:uid="{D68BE1CA-0602-4CF8-AF85-17A6268867C0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=AK125*$AC$122/$AE$122+AF125-AC122/AE122*AH125</t>
        </r>
      </text>
    </comment>
    <comment ref="AI144" authorId="1" shapeId="0" xr:uid="{4697CC25-E4D8-43BE-9848-DB4CF37ED164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=AK125*$AC$123/$AE$122+AF126-AC123/AE122*AH125</t>
        </r>
      </text>
    </comment>
    <comment ref="W148" authorId="1" shapeId="0" xr:uid="{CEFDBDEF-D6FD-43A2-9D11-E8926E636748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46990
к.п. 6643
ж.д.тариф 0
з/ч 2061</t>
        </r>
      </text>
    </comment>
    <comment ref="AI148" authorId="1" shapeId="0" xr:uid="{3DF358C8-D06D-4279-B809-3646D240D99A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=AF130-$AC$130/$AE$130*AH130+AK130*$AC$130/$AE$130</t>
        </r>
      </text>
    </comment>
    <comment ref="AI149" authorId="1" shapeId="0" xr:uid="{20093791-A2D2-4397-ABB0-882160C91C9D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=AF131-$AC$131/$AE$130*AH130+AK130*$AC$131/$AE$130</t>
        </r>
      </text>
    </comment>
    <comment ref="W151" authorId="1" shapeId="0" xr:uid="{FD9B11FD-DD81-43F4-88DB-52E2CE888375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118936
к.п. 10830
ж.д.тариф 3
з/ч 7881</t>
        </r>
      </text>
    </comment>
    <comment ref="AI151" authorId="1" shapeId="0" xr:uid="{C620525F-2C66-4385-A0CF-241BD4330C0D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=AF133-$AC$130/$AE$130*AH133+AK133*$AC$130/$AE$130</t>
        </r>
      </text>
    </comment>
    <comment ref="AI152" authorId="1" shapeId="0" xr:uid="{8A946E64-415C-4F1C-9BDA-144F81462F81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=AF134-$AC$131/$AE$130*AH133+AK133*$AC$131/$AE$130</t>
        </r>
      </text>
    </comment>
    <comment ref="W154" authorId="1" shapeId="0" xr:uid="{2836EBB2-B915-4098-9721-2351768EBD2D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17666
к.п. 1467
ж.д.тариф 0
з/ч 1477</t>
        </r>
      </text>
    </comment>
    <comment ref="AI154" authorId="1" shapeId="0" xr:uid="{66C71559-384B-4933-B250-81E58DE30CB0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=AF136-$AC$130/$AE$130*AH136+AK136*$AC$130/$AE$130</t>
        </r>
      </text>
    </comment>
    <comment ref="AI155" authorId="1" shapeId="0" xr:uid="{EC0F9A81-AA84-4306-A7F4-A5D5EA79F2B5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=AF137-$AC$131/$AE$130*AH136+AK136*$AC$131/$AE$130</t>
        </r>
      </text>
    </comment>
    <comment ref="W157" authorId="1" shapeId="0" xr:uid="{2DFB2B51-BB37-4ABB-AAAF-2A4E9BE23378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15021+35550
к.п. 0+8611
ж.д.тариф 1+1
з/ч 810+9125</t>
        </r>
      </text>
    </comment>
    <comment ref="AI157" authorId="1" shapeId="0" xr:uid="{C8DA146C-CB01-43CC-B2C7-474A126069B6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=AF139-$AC$130/$AE$130*AH139+AK139*$AC$130/$AE$130</t>
        </r>
      </text>
    </comment>
    <comment ref="W160" authorId="1" shapeId="0" xr:uid="{23554C60-11E1-4FC5-86C4-2FA472E715BF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17400
к.п. 0
ж.д.тариф 0
з/ч 826</t>
        </r>
      </text>
    </comment>
    <comment ref="W163" authorId="1" shapeId="0" xr:uid="{BE4228E5-1108-434C-9436-E019BE21925A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22368
к.п. 7826
ж.д.тариф 1
з/ч 1738</t>
        </r>
      </text>
    </comment>
    <comment ref="W177" authorId="1" shapeId="0" xr:uid="{A88724EC-A748-4B6B-A154-8D1D5AD6A3D1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25848
к.п. 1209
ж.д.тариф 0
з/ч 1087</t>
        </r>
      </text>
    </comment>
    <comment ref="W180" authorId="1" shapeId="0" xr:uid="{DA5900C4-9B3E-4B33-81C6-0A4837F8AF02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3470
к.п. 604
ж.д.тариф 0
з/ч 144</t>
        </r>
      </text>
    </comment>
    <comment ref="W185" authorId="1" shapeId="0" xr:uid="{B710046C-5E55-4D56-8F16-6474E955E15C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13064
к.п. 2982
ж.д.тариф 1
з/ч 814</t>
        </r>
      </text>
    </comment>
    <comment ref="W188" authorId="1" shapeId="0" xr:uid="{192C9988-785E-43CD-8C32-C281091B0F27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5153
к.п. 0
ж.д.тариф 0
з/ч 102</t>
        </r>
      </text>
    </comment>
    <comment ref="W191" authorId="1" shapeId="0" xr:uid="{BC006358-C6C4-4C77-B51D-5AFD98D26741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21334+10768
к.п. 1121+0
ж.д.тариф 1+0
з/ч 2733+947</t>
        </r>
      </text>
    </comment>
    <comment ref="W194" authorId="1" shapeId="0" xr:uid="{947CC3F5-8AB4-4057-BB27-6FB4A11EE35F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4456
к.п. 0
ж.д.тариф 0
з/ч 487</t>
        </r>
      </text>
    </comment>
    <comment ref="W197" authorId="1" shapeId="0" xr:uid="{965470B0-9BC5-4778-B332-CF8BF751C82D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9291
к.п. 1067
ж.д.тариф 0
з/ч 1261</t>
        </r>
      </text>
    </comment>
    <comment ref="W205" authorId="1" shapeId="0" xr:uid="{F9F3B87D-4DC7-43A9-820D-0E7498ED149D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18462
к.п. 1813
ж.д.тариф 0
з/ч 919</t>
        </r>
      </text>
    </comment>
    <comment ref="W208" authorId="1" shapeId="0" xr:uid="{7C076E6C-F378-4BE0-8B6D-992891B94888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41408
к.п. 17500
ж.д.тариф 0
з/ч 4061</t>
        </r>
      </text>
    </comment>
    <comment ref="W211" authorId="1" shapeId="0" xr:uid="{3F636AAE-E606-4BA3-97C8-13B8613DA717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22455
к.п. 1121
ж.д.тариф 1
з/ч 3992</t>
        </r>
      </text>
    </comment>
    <comment ref="W214" authorId="1" shapeId="0" xr:uid="{0CD23022-CA8F-4FD1-994E-1624528BC3A9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15034
к.п. 6481
ж.д.тариф 0
з/ч 3148</t>
        </r>
      </text>
    </comment>
    <comment ref="W225" authorId="1" shapeId="0" xr:uid="{1DD2A06F-6F92-4DB6-A919-0E44B5031549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12997
к.п. 453
ж.д.тариф 0
з/ч 509</t>
        </r>
      </text>
    </comment>
    <comment ref="W228" authorId="1" shapeId="0" xr:uid="{5B9114F7-0407-4ECD-A61C-13AD2E4C02A1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27512
к.п. 0
ж.д.тариф 0
з/ч 1700</t>
        </r>
      </text>
    </comment>
    <comment ref="W231" authorId="1" shapeId="0" xr:uid="{909F8A1B-4861-4A3C-8042-C50B6C149892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10295
к.п. 1430
ж.д.тариф 0
з/ч 790</t>
        </r>
      </text>
    </comment>
    <comment ref="W236" authorId="1" shapeId="0" xr:uid="{D846AEB1-E264-4119-A1E3-34B4B33D7089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1291
к.п. 0
ж.д.тариф 0
з/ч 159</t>
        </r>
      </text>
    </comment>
    <comment ref="W239" authorId="1" shapeId="0" xr:uid="{BFD40AAF-0FD8-442E-94EB-D5D7375551CD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1347
к.п. 0
ж.д.тариф 0
з/ч 51</t>
        </r>
      </text>
    </comment>
    <comment ref="W247" authorId="1" shapeId="0" xr:uid="{783070F1-FC32-4B6A-AC25-815672B1402F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154909-2
к.п. 90217
ж.д.тариф 8
з/ч 17241+2</t>
        </r>
      </text>
    </comment>
    <comment ref="W250" authorId="1" shapeId="0" xr:uid="{8FE31E75-77E2-44A1-BA55-27BA0BC176B0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21261+18199
к.п. 3568+0
ж.д.тариф 0+0
з/ч 3274+10045</t>
        </r>
      </text>
    </comment>
    <comment ref="W253" authorId="1" shapeId="0" xr:uid="{77CB94DD-8014-499F-8A16-141A8D2AFEFE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23271
к.п. 51722
ж.д.тариф 0
з/ч 3936</t>
        </r>
      </text>
    </comment>
    <comment ref="W256" authorId="1" shapeId="0" xr:uid="{5DC85C40-AC5D-460D-9470-25F1896F7119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29620
к.п. 843
ж.д.тариф 0
з/ч 824</t>
        </r>
      </text>
    </comment>
    <comment ref="W259" authorId="1" shapeId="0" xr:uid="{8464DF51-B190-4073-AC9C-031CCFAABD1F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35180
к.п. 0
ж.д.тариф 0
з/ч 2191</t>
        </r>
      </text>
    </comment>
    <comment ref="W264" authorId="1" shapeId="0" xr:uid="{F278E2BA-0FC6-4F93-AEAE-48C08E3D097C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55258-2
к.п. 102752
ж.д.тариф 4
з/ч 8048+2</t>
        </r>
      </text>
    </comment>
    <comment ref="W267" authorId="1" shapeId="0" xr:uid="{13490839-324D-4D9D-AD11-03746AABA658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1081
к.п. 0
ж.д.тариф 0
з/ч 6882</t>
        </r>
      </text>
    </comment>
    <comment ref="W270" authorId="1" shapeId="0" xr:uid="{4C276EE8-3593-4D5F-898A-2BCBE2478B9B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7582
к.п. 15165
ж.д.тариф 0
з/ч 2173</t>
        </r>
      </text>
    </comment>
    <comment ref="W273" authorId="1" shapeId="0" xr:uid="{1C9A65AC-27BC-40B2-A6BF-9ACD760EE83B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15969+1
к.п. 0
ж.д.тариф 0
з/ч 734-1</t>
        </r>
      </text>
    </comment>
    <comment ref="W276" authorId="1" shapeId="0" xr:uid="{4C7ADFFF-2AE4-49F7-B83D-7DB6672E2F32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90952+1
к.п. 52428
ж.д.тариф 0
з/ч 6041-1</t>
        </r>
      </text>
    </comment>
    <comment ref="W279" authorId="1" shapeId="0" xr:uid="{5B6DB2CA-6A37-4ACC-A20D-407FA17689B1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23715
к.п. 1872
ж.д.тариф 0
з/ч 1753</t>
        </r>
      </text>
    </comment>
    <comment ref="W282" authorId="1" shapeId="0" xr:uid="{1F25E41C-3F63-4245-8B67-1503FCD85121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9373
к.п. 0
ж.д.тариф 0
з/ч 284</t>
        </r>
      </text>
    </comment>
    <comment ref="AI287" authorId="1" shapeId="0" xr:uid="{EA6300FE-2738-43C3-9A2A-96723FB3FC79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=AK269*$AC$269/$AE$269+AF269-$AC$269/$AE$269*AH269</t>
        </r>
      </text>
    </comment>
    <comment ref="AI288" authorId="1" shapeId="0" xr:uid="{DC15398D-F42B-40C5-81E7-BCF0D4C6C89D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=AK269*$AC$270/$AE$269+AF270-AC270/AE269*AH269</t>
        </r>
      </text>
    </comment>
    <comment ref="AI310" authorId="1" shapeId="0" xr:uid="{BC97B8C3-B8D7-46B6-85D0-006F7CA62C34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=AK292*$AC$292/$AE$246+AF292-$AC$292/$AE$292*AH292</t>
        </r>
      </text>
    </comment>
    <comment ref="AI311" authorId="1" shapeId="0" xr:uid="{9E30454D-BB1D-49FB-B164-C8C67839A669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=AK292*$AC$293/$AE$292+AF293-$AC$293/$AE$292*AH292</t>
        </r>
      </text>
    </comment>
    <comment ref="AI334" authorId="1" shapeId="0" xr:uid="{2AD92EAD-7393-4E84-BA6A-641EC6FE4AD3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=AK315*$AC$316/$AE$315+AF316-$AC$316/$AE$315*AH315</t>
        </r>
      </text>
    </comment>
    <comment ref="AI356" authorId="1" shapeId="0" xr:uid="{289E64CB-0FDE-4886-A1D2-11A6067775D3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=AK338*$AC$338/$AE$338+AF338-$AC$338/$AE$338*AH338</t>
        </r>
      </text>
    </comment>
    <comment ref="AI357" authorId="1" shapeId="0" xr:uid="{B2DFAF23-EB2E-4D25-BCE7-CD4161D20AAB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=AK338*$AC$339/$AE$338+AF339-$AC$339/$AE$338*AH338</t>
        </r>
      </text>
    </comment>
    <comment ref="AI379" authorId="1" shapeId="0" xr:uid="{F4B9BB55-E6E6-4527-BA6D-B6AA6217C80C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=AK361*$AC$361/$AE$361+AF361-$AC$361/$AE$361*AH361</t>
        </r>
      </text>
    </comment>
    <comment ref="AI380" authorId="1" shapeId="0" xr:uid="{5ECE1500-093C-42D6-95D4-03B3EAC0F9C8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=AK361*$AC$362/$AE$361+AF362-$AC$362/$AE$361*AH361</t>
        </r>
      </text>
    </comment>
    <comment ref="W402" authorId="1" shapeId="0" xr:uid="{B6B27065-37DA-450D-9D72-3D839869047A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347823
к.п. 19114
ж.д.тариф 433
з/ч 32957</t>
        </r>
      </text>
    </comment>
    <comment ref="W405" authorId="1" shapeId="0" xr:uid="{85E51407-FC40-49FF-9608-F5DC476CBA1C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151032
к.п. 11254
ж.д.тариф 231
з/ч 23271</t>
        </r>
      </text>
    </comment>
    <comment ref="W408" authorId="1" shapeId="0" xr:uid="{386824E3-DECA-4634-8F04-3DEB868E6FF7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85421
к.п. 5225
ж.д.тариф 145
з/ч 46810</t>
        </r>
      </text>
    </comment>
    <comment ref="W411" authorId="1" shapeId="0" xr:uid="{E84CE56A-A878-47AD-8FF7-C8DE730BA22F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96961
к.п. 3273
ж.д.тариф 128
з/ч 15029</t>
        </r>
      </text>
    </comment>
    <comment ref="W414" authorId="1" shapeId="0" xr:uid="{11D94CD3-56E9-4960-A127-A888706A5132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85832
к.п. 7523
ж.д.тариф 76
з/ч 12772</t>
        </r>
      </text>
    </comment>
    <comment ref="W417" authorId="1" shapeId="0" xr:uid="{08007AE7-4953-4420-97DB-020E63F457C4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3584331
к.п. 1178123
ж.д.тариф 4750
з/ч 397169</t>
        </r>
      </text>
    </comment>
    <comment ref="W420" authorId="1" shapeId="0" xr:uid="{29D8FAB4-C6E1-48E5-814F-BE891B70AA5B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144589
к.п. 100376
ж.д.тариф 160
з/ч 24991</t>
        </r>
      </text>
    </comment>
    <comment ref="W423" authorId="1" shapeId="0" xr:uid="{E041730B-5406-4829-B2CE-5668279B94BA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20750-1
к.п. 17728+1
ж.д.тариф 43
з/ч 14615</t>
        </r>
      </text>
    </comment>
    <comment ref="W426" authorId="1" shapeId="0" xr:uid="{239297CD-11F8-459A-8DC1-3F132B408A81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84987
к.п. 30071
ж.д.тариф 63
з/ч 1313</t>
        </r>
      </text>
    </comment>
    <comment ref="W429" authorId="1" shapeId="0" xr:uid="{81EE6B0C-EEDE-4D8B-BCE6-8046A9975B07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57621
к.п. 37634
ж.д.тариф 52
з/ч 10101</t>
        </r>
      </text>
    </comment>
    <comment ref="W432" authorId="1" shapeId="0" xr:uid="{D09BF7A7-CF7F-4F67-AF50-9D49A5C7640D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55861-1
к.п. 57485
ж.д.тариф 44
з/ч 5688+1</t>
        </r>
      </text>
    </comment>
  </commentList>
</comments>
</file>

<file path=xl/sharedStrings.xml><?xml version="1.0" encoding="utf-8"?>
<sst xmlns="http://schemas.openxmlformats.org/spreadsheetml/2006/main" count="1448" uniqueCount="216">
  <si>
    <t>исх. № _________________</t>
  </si>
  <si>
    <t>Отчет об исполнении Плана капитальных вложений АО "Қазтеміртранс" за 12 месяцев 2020 года
(по фактическим данным)</t>
  </si>
  <si>
    <t>от ____________________</t>
  </si>
  <si>
    <t>тыс. тенге</t>
  </si>
  <si>
    <t>№ п/п</t>
  </si>
  <si>
    <t>Наименование проекта</t>
  </si>
  <si>
    <t>ПКВ/ГФ</t>
  </si>
  <si>
    <t>Источники финансирования</t>
  </si>
  <si>
    <t>План на 2020 год*</t>
  </si>
  <si>
    <t>Все договоры, доп.соглашения, уведомления (о расторжениии) и пр. с начала реализации проекта</t>
  </si>
  <si>
    <r>
      <t xml:space="preserve">Освоение с начала реализации проекта до отчетного года
</t>
    </r>
    <r>
      <rPr>
        <i/>
        <sz val="10"/>
        <rFont val="Times New Roman"/>
        <family val="1"/>
        <charset val="204"/>
      </rPr>
      <t>(указываются только те проекты, которые предусмотрены в плане отчетного года)</t>
    </r>
  </si>
  <si>
    <r>
      <t xml:space="preserve">Исполнение за отчетный период
</t>
    </r>
    <r>
      <rPr>
        <i/>
        <sz val="10"/>
        <rFont val="Times New Roman"/>
        <family val="1"/>
        <charset val="204"/>
      </rPr>
      <t>(с начала года - по отчетный месяц включительно)</t>
    </r>
  </si>
  <si>
    <r>
      <t xml:space="preserve">расшифровка финансирования </t>
    </r>
    <r>
      <rPr>
        <i/>
        <sz val="10"/>
        <rFont val="Times New Roman"/>
        <family val="1"/>
        <charset val="204"/>
      </rPr>
      <t>(без НДС)</t>
    </r>
    <r>
      <rPr>
        <b/>
        <sz val="10"/>
        <rFont val="Times New Roman"/>
        <family val="1"/>
        <charset val="204"/>
      </rPr>
      <t xml:space="preserve"> за отчетный период</t>
    </r>
  </si>
  <si>
    <t>Ожидаемое исполнение до конца года</t>
  </si>
  <si>
    <t xml:space="preserve">Факторы и их значения, которые повлияли на исполнение плана в отчетном периоде                                                                                                                                                  </t>
  </si>
  <si>
    <t>Регион реализации проекта</t>
  </si>
  <si>
    <t>Меры реагирования</t>
  </si>
  <si>
    <t>Ответственный(-ые) за исполнение проекта</t>
  </si>
  <si>
    <t>Примечание</t>
  </si>
  <si>
    <t>Филиал</t>
  </si>
  <si>
    <t>Сметная стоимость</t>
  </si>
  <si>
    <t>Сроки релизации</t>
  </si>
  <si>
    <t>Кол-во</t>
  </si>
  <si>
    <t>Годовой план</t>
  </si>
  <si>
    <t>Наименование подрядчика</t>
  </si>
  <si>
    <t>№ и дата договора</t>
  </si>
  <si>
    <t>Валюта договора</t>
  </si>
  <si>
    <t>Сумма договора</t>
  </si>
  <si>
    <t>Срок завершения по договору</t>
  </si>
  <si>
    <t>Кол-во по договору</t>
  </si>
  <si>
    <t>2018г</t>
  </si>
  <si>
    <t>2019г</t>
  </si>
  <si>
    <t>Итого за период с 2018 по 2019 гг.</t>
  </si>
  <si>
    <t>план*</t>
  </si>
  <si>
    <t>факт</t>
  </si>
  <si>
    <t>отклонения</t>
  </si>
  <si>
    <t>позднее проведение процедур закупок, позднее закл.договоров</t>
  </si>
  <si>
    <t>условная экономия по итогам тендерных процедур</t>
  </si>
  <si>
    <t>задержка получения заключения госэкспертизы, разрешения на производство СМР</t>
  </si>
  <si>
    <t>договора не заключены</t>
  </si>
  <si>
    <t>ненадлежащее исполнение договорных обязательтсв подрядчиком</t>
  </si>
  <si>
    <t>расторжение договора по инициативе Заказчика</t>
  </si>
  <si>
    <t>расторжение договора по инициативе Подрядчика</t>
  </si>
  <si>
    <t>перевыполнение в пределах сметной стоимости</t>
  </si>
  <si>
    <t>перевыполнение сверх сметной стоимости</t>
  </si>
  <si>
    <t>исполнение вне плана</t>
  </si>
  <si>
    <t>утрата производственной необходимости</t>
  </si>
  <si>
    <t>задержка получения заемных средств, средств РБ и др.</t>
  </si>
  <si>
    <t>форс-мажор, подтвержденный заключением уполномоченного органа</t>
  </si>
  <si>
    <r>
      <t xml:space="preserve">другие причины </t>
    </r>
    <r>
      <rPr>
        <i/>
        <sz val="10"/>
        <rFont val="Times New Roman"/>
        <family val="1"/>
        <charset val="204"/>
      </rPr>
      <t>(расписать при наличии)</t>
    </r>
  </si>
  <si>
    <r>
      <t xml:space="preserve">область </t>
    </r>
    <r>
      <rPr>
        <i/>
        <sz val="10"/>
        <rFont val="Times New Roman"/>
        <family val="1"/>
        <charset val="204"/>
      </rPr>
      <t>(город Республиканского значения)</t>
    </r>
  </si>
  <si>
    <r>
      <t xml:space="preserve">НОД, НЖС </t>
    </r>
    <r>
      <rPr>
        <i/>
        <sz val="10"/>
        <rFont val="Times New Roman"/>
        <family val="1"/>
        <charset val="204"/>
      </rPr>
      <t>(с указанеим станции)</t>
    </r>
  </si>
  <si>
    <t>Сумма взысканных штрафов, пени и пр. за неисполнение договорных обязательств подрядчиком и по др. основаниям</t>
  </si>
  <si>
    <r>
      <t>Сумма удержаний</t>
    </r>
    <r>
      <rPr>
        <i/>
        <sz val="10"/>
        <rFont val="Times New Roman"/>
        <family val="1"/>
        <charset val="204"/>
      </rPr>
      <t xml:space="preserve"> (по банковским гарантиям и/или внесенным на расчетный счет АО "НК "КТЖ" обеспечениям)</t>
    </r>
    <r>
      <rPr>
        <b/>
        <sz val="10"/>
        <rFont val="Times New Roman"/>
        <family val="1"/>
        <charset val="204"/>
      </rPr>
      <t xml:space="preserve"> за неисполнение договорных обязательств подрядчиком и по др. основаниям</t>
    </r>
  </si>
  <si>
    <t>Принимаемые меры к подрядчикам, выполняющим договорные обязательства ненадлежащим образом</t>
  </si>
  <si>
    <t>Фамилия, инициалы</t>
  </si>
  <si>
    <t>Наименование должности</t>
  </si>
  <si>
    <t>в валюте договора</t>
  </si>
  <si>
    <t>в тенге</t>
  </si>
  <si>
    <t>сумма</t>
  </si>
  <si>
    <t>кол-во</t>
  </si>
  <si>
    <t>% к плану</t>
  </si>
  <si>
    <t>оплата за выполненные работы до отчетного периода</t>
  </si>
  <si>
    <t>оплата за выполненные работы в отчетном периоде</t>
  </si>
  <si>
    <t>предоплата за будущие работы</t>
  </si>
  <si>
    <t>без НДС</t>
  </si>
  <si>
    <t>с НДС</t>
  </si>
  <si>
    <t xml:space="preserve"> (-)</t>
  </si>
  <si>
    <t>(-)</t>
  </si>
  <si>
    <t>(+)</t>
  </si>
  <si>
    <t>(-/+)</t>
  </si>
  <si>
    <t>АО "Қазтеміртранс" (группа)</t>
  </si>
  <si>
    <t>освоение</t>
  </si>
  <si>
    <t>всего</t>
  </si>
  <si>
    <t>финансирование</t>
  </si>
  <si>
    <t>всего, в т.ч.</t>
  </si>
  <si>
    <t>собственные</t>
  </si>
  <si>
    <t>заемные</t>
  </si>
  <si>
    <t>АО "Қазтеміртранс"</t>
  </si>
  <si>
    <t>Обновление и реабилитация инфраструктуры</t>
  </si>
  <si>
    <t>Целевая программа "Улучшение административных и социально-бытовых условий труда работников"</t>
  </si>
  <si>
    <t xml:space="preserve">Приобретение лицензий на право использования автоматизированной системы управления взаимоотношениями с клиентом CRM </t>
  </si>
  <si>
    <t>ТОО "Business Applications Solutions"</t>
  </si>
  <si>
    <t>№437082/2020/1 от 17.06.2020</t>
  </si>
  <si>
    <t>РК</t>
  </si>
  <si>
    <t>Приобретение организационной техники</t>
  </si>
  <si>
    <t>АО "Technodom Operator" (Технодом Оператор)</t>
  </si>
  <si>
    <t>№466233/2020/1 от 04.08.2020 г.</t>
  </si>
  <si>
    <t>до 31.10.20г</t>
  </si>
  <si>
    <t>ЦА</t>
  </si>
  <si>
    <t>№466250/2020/1 от 04.08.2020 г.</t>
  </si>
  <si>
    <t>НПФ-1</t>
  </si>
  <si>
    <t>НПФ-2</t>
  </si>
  <si>
    <t>НПФ-3</t>
  </si>
  <si>
    <t>НПФ-4</t>
  </si>
  <si>
    <t>НПФ-6</t>
  </si>
  <si>
    <t>НПФ-7</t>
  </si>
  <si>
    <t>НПФ-9</t>
  </si>
  <si>
    <t>НПФ-10</t>
  </si>
  <si>
    <t>НПФ-11</t>
  </si>
  <si>
    <t>НПФ-13</t>
  </si>
  <si>
    <t>ТОО "RIO-007"</t>
  </si>
  <si>
    <t xml:space="preserve"> №479004/2020/1 от 18.09.2020 г.</t>
  </si>
  <si>
    <t>до 31.10.2020г</t>
  </si>
  <si>
    <t xml:space="preserve">ТОО "A-DESIT" </t>
  </si>
  <si>
    <t>№476702/2020/1 от 22.09.2020 г.</t>
  </si>
  <si>
    <t>до 31.12.20г</t>
  </si>
  <si>
    <t>ТОО "Apple tech Kazakhstan"</t>
  </si>
  <si>
    <t>№470078/2020/1 НПФ-4 от 01.09.2020</t>
  </si>
  <si>
    <t>ТОО "Global Energy Systems"</t>
  </si>
  <si>
    <t>№464515/2020/1 от 12.08.2020г</t>
  </si>
  <si>
    <t>Целевая программа "Приобретение  грузовых вагонов"</t>
  </si>
  <si>
    <t>Приобретение полувагонов</t>
  </si>
  <si>
    <t>тенге</t>
  </si>
  <si>
    <t>Временное объединение юридических лиц ТОО "Казахстанская вагоностроительная компания" и ТОО "SMP Group"</t>
  </si>
  <si>
    <t>№ДКП №286/181/1-КП от 04.12.2020</t>
  </si>
  <si>
    <t xml:space="preserve">до </t>
  </si>
  <si>
    <t>Целевая программа "Капитальный ремонт грузовых вагонов"</t>
  </si>
  <si>
    <r>
      <t xml:space="preserve">Работы по деповскому ремонту грузовых вагонов по техническому решению с продлением срока полезного использования (ДР по ТР) </t>
    </r>
    <r>
      <rPr>
        <sz val="10"/>
        <color rgb="FFFF0000"/>
        <rFont val="Times New Roman"/>
        <family val="1"/>
        <charset val="204"/>
      </rPr>
      <t>(крытые - 45ед.)</t>
    </r>
  </si>
  <si>
    <t>Всего по крытым вагонам</t>
  </si>
  <si>
    <t>ТОО "Шымкент Рем Сервис"</t>
  </si>
  <si>
    <t>№273267/2019/3 от 02.05.19г.</t>
  </si>
  <si>
    <t>до 31.10.19г</t>
  </si>
  <si>
    <t>ТОО "Astana Railway Services"</t>
  </si>
  <si>
    <t>№342706/2019/4 от 24.10.19г.</t>
  </si>
  <si>
    <t>до 31.12.19г</t>
  </si>
  <si>
    <r>
      <t xml:space="preserve">Работы по деповскому ремонту грузовых вагонов по техническому решению с продлением срока полезного использования (ДР по ТР) </t>
    </r>
    <r>
      <rPr>
        <sz val="10"/>
        <color rgb="FFFF0000"/>
        <rFont val="Times New Roman"/>
        <family val="1"/>
        <charset val="204"/>
      </rPr>
      <t>(универсальные платформы - 196ед.)</t>
    </r>
  </si>
  <si>
    <t>Всего по платформам универсальным</t>
  </si>
  <si>
    <t>до 30.11.19г</t>
  </si>
  <si>
    <t>ТОО "Қамқор вагон"</t>
  </si>
  <si>
    <t>№273267/2019/1 от 02.05.19г.</t>
  </si>
  <si>
    <t>ТОО "Вагоноремонтное депо "Бурабай"</t>
  </si>
  <si>
    <t>№273267/2019/5 от 02.05.19г.</t>
  </si>
  <si>
    <t>ТОО Astana Railway Services</t>
  </si>
  <si>
    <t>№273267/2019/2 от 02.05.19г.</t>
  </si>
  <si>
    <t>ТОО "Аждар и К"</t>
  </si>
  <si>
    <t>№273267/2019/7 от 02.05.19г.</t>
  </si>
  <si>
    <t>АО "АВРЗ"</t>
  </si>
  <si>
    <t>№273267/2019/6 от 02.05.19г.</t>
  </si>
  <si>
    <r>
      <t xml:space="preserve">Работы по деповскому ремонту грузовых вагонов по техническому решению с продлением срока полезного использования (ДР по ТР) </t>
    </r>
    <r>
      <rPr>
        <sz val="10"/>
        <color rgb="FFFF0000"/>
        <rFont val="Times New Roman"/>
        <family val="1"/>
        <charset val="204"/>
      </rPr>
      <t>цистерна для пищевых продуктов, используемых для перевозки питьевой воды - 25ед.)</t>
    </r>
  </si>
  <si>
    <t>Всего по цистернам для пищевых продуктов</t>
  </si>
  <si>
    <t>до 30.06.19г</t>
  </si>
  <si>
    <r>
      <t xml:space="preserve">Работы по деповскому ремонту грузовых вагонов по техническому решению с продлением срока полезного использования (ДР по ТР) - </t>
    </r>
    <r>
      <rPr>
        <sz val="10"/>
        <color rgb="FFFF0000"/>
        <rFont val="Times New Roman"/>
        <family val="1"/>
        <charset val="204"/>
      </rPr>
      <t>(вагон-хопперов крытых для зерна - 66ед.)</t>
    </r>
  </si>
  <si>
    <t>Всего по вагон-хопперам для зерна</t>
  </si>
  <si>
    <t>до 31.08.19г</t>
  </si>
  <si>
    <r>
      <t xml:space="preserve">Работы по деповскому ремонту грузовых вагонов по техническому решению с продлением срока полезного использования (ДР по ТР) - </t>
    </r>
    <r>
      <rPr>
        <sz val="10"/>
        <color rgb="FFFF0000"/>
        <rFont val="Times New Roman"/>
        <family val="1"/>
        <charset val="204"/>
      </rPr>
      <t>(платформ для крупнотоннажных контейнеров - 99ед.)</t>
    </r>
  </si>
  <si>
    <t>Всего по платформам для крупнотоннажных контейнеров</t>
  </si>
  <si>
    <r>
      <t>Работы по деповскому ремонту грузовых вагонов по техническому решению с продлением срока полезного использования (ДР по ТР) (</t>
    </r>
    <r>
      <rPr>
        <sz val="10"/>
        <color rgb="FFFF0000"/>
        <rFont val="Times New Roman"/>
        <family val="1"/>
        <charset val="204"/>
      </rPr>
      <t>хоппер для цемента - 50ед.)</t>
    </r>
  </si>
  <si>
    <t>Всего по хопперам для цемента</t>
  </si>
  <si>
    <t>ТОО "ЖамбылРемСервис"</t>
  </si>
  <si>
    <t>№273267/2019/4 от 02.05.19г.</t>
  </si>
  <si>
    <r>
      <t>Работы по деповскому ремонту грузовых вагонов по техническому решению с продлением срока полезного использования (ДР по ТР) (</t>
    </r>
    <r>
      <rPr>
        <sz val="10"/>
        <color rgb="FFFF0000"/>
        <rFont val="Times New Roman"/>
        <family val="1"/>
        <charset val="204"/>
      </rPr>
      <t>платформ для перевозки колесных пар - 3ед.)</t>
    </r>
  </si>
  <si>
    <t>Всего по платформам для перевозки колесных пар</t>
  </si>
  <si>
    <r>
      <t>Работы по деповскому ремонту грузовых вагонов по техническому решению с продлением срока полезного использования (ДР по ТР) (полувагонов</t>
    </r>
    <r>
      <rPr>
        <sz val="10"/>
        <color rgb="FFFF0000"/>
        <rFont val="Times New Roman"/>
        <family val="1"/>
        <charset val="204"/>
      </rPr>
      <t xml:space="preserve"> - 200ед.)</t>
    </r>
  </si>
  <si>
    <t>Всего по полувагонам</t>
  </si>
  <si>
    <t>№342706/2019/1 от 23.10.19г.</t>
  </si>
  <si>
    <t>№342706/2019/3 от 24.10.19г.</t>
  </si>
  <si>
    <t>№342706/2019/6 от 24.10.19г.</t>
  </si>
  <si>
    <t>АО АВРЗ</t>
  </si>
  <si>
    <t>№342706/2019/2 от 23.10.19г.</t>
  </si>
  <si>
    <r>
      <t>Работы по деповскому ремонту грузовых вагонов по техническому решению с продлением срока полезного использования (ДР по ТР) (крытые</t>
    </r>
    <r>
      <rPr>
        <sz val="10"/>
        <color rgb="FFFF0000"/>
        <rFont val="Times New Roman"/>
        <family val="1"/>
        <charset val="204"/>
      </rPr>
      <t xml:space="preserve"> - 150ед.)</t>
    </r>
  </si>
  <si>
    <t>Всего по крытым</t>
  </si>
  <si>
    <t>№342706/2019/7 от 24.10.19г.</t>
  </si>
  <si>
    <t>№342706/2019/5 от 24.10.19г.</t>
  </si>
  <si>
    <r>
      <t>Работы по деповскому ремонту грузовых вагонов по техническому решению с продлением срока полезного использования (ДР по ТР) (вагон-хопперов крытых для зерна</t>
    </r>
    <r>
      <rPr>
        <sz val="10"/>
        <color rgb="FFFF0000"/>
        <rFont val="Times New Roman"/>
        <family val="1"/>
        <charset val="204"/>
      </rPr>
      <t xml:space="preserve"> - 150ед.)</t>
    </r>
  </si>
  <si>
    <t>Всего по вагон-хопперам крытым для зерна</t>
  </si>
  <si>
    <t>Временное объединение юридических лиц ТОО ТемирТрансСервис и ТОО Astana Railways Services</t>
  </si>
  <si>
    <t>№31-12/52-НПС от 31.12.19г.</t>
  </si>
  <si>
    <r>
      <t>Работы по деповскому ремонту грузовых вагонов по техническому решению с продлением срока полезного использования (ДР по ТР) (платформ для крупнотоннажных контейнеров</t>
    </r>
    <r>
      <rPr>
        <sz val="10"/>
        <color rgb="FFFF0000"/>
        <rFont val="Times New Roman"/>
        <family val="1"/>
        <charset val="204"/>
      </rPr>
      <t xml:space="preserve"> - 40ед.)</t>
    </r>
  </si>
  <si>
    <r>
      <t>Работы по деповскому ремонту грузовых вагонов по техническому решению с продлением срока полезного использования (ДР по ТР) (платформ для перевозки колесных пар</t>
    </r>
    <r>
      <rPr>
        <sz val="10"/>
        <color rgb="FFFF0000"/>
        <rFont val="Times New Roman"/>
        <family val="1"/>
        <charset val="204"/>
      </rPr>
      <t xml:space="preserve"> - 3ед.)</t>
    </r>
  </si>
  <si>
    <r>
      <t>Работы по деповскому ремонту грузовых вагонов по техническому решению с продлением срока полезного использования (ДР по ТР) (транспортеры 4-осн</t>
    </r>
    <r>
      <rPr>
        <sz val="10"/>
        <color rgb="FFFF0000"/>
        <rFont val="Times New Roman"/>
        <family val="1"/>
        <charset val="204"/>
      </rPr>
      <t xml:space="preserve"> - 6ед.)</t>
    </r>
  </si>
  <si>
    <t>Всего по транспортерам 4-осн.</t>
  </si>
  <si>
    <r>
      <t>Работы по деповскому ремонту грузовых вагонов по техническому решению с продлением срока полезного использования (ДР по ТР) (транспортеры 8-осн</t>
    </r>
    <r>
      <rPr>
        <sz val="10"/>
        <color rgb="FFFF0000"/>
        <rFont val="Times New Roman"/>
        <family val="1"/>
        <charset val="204"/>
      </rPr>
      <t xml:space="preserve"> - 5ед.)</t>
    </r>
  </si>
  <si>
    <t>Всего по транспортерам 8-осн.</t>
  </si>
  <si>
    <t xml:space="preserve">Всего КР </t>
  </si>
  <si>
    <t>Работ по капитальному ремонту грузовых вагонов (КР) в количестве 2100ед.</t>
  </si>
  <si>
    <t>№04-01/8-НПС от 04.01.19г.</t>
  </si>
  <si>
    <t>ТОО Богатырь Транс</t>
  </si>
  <si>
    <t>№04-01/10-НПС от 04.01.19г.</t>
  </si>
  <si>
    <t>№04-01/3-НПС от 04.01.19г.</t>
  </si>
  <si>
    <t>ТОО ЖамбылРемСервис</t>
  </si>
  <si>
    <t>№04-01/6-НПС от 04.01.19г.</t>
  </si>
  <si>
    <t>ТОО ШымкентРемСервис</t>
  </si>
  <si>
    <t>№04-01/1-НПС от 04.01.19г.</t>
  </si>
  <si>
    <t>ТОО "Камкор Вагон"</t>
  </si>
  <si>
    <t>№25-09/5-НПС от 25.09.14г.
доп.согл №29-12/13-НПС от 29.12.18г.</t>
  </si>
  <si>
    <t>№299713/2019/2 от 24.06.19г.</t>
  </si>
  <si>
    <t>№299729/2019/1 от 24.06.19г.</t>
  </si>
  <si>
    <t>№299713/2019/3 от 24.06.19г.</t>
  </si>
  <si>
    <t>№299713/2019/1 от 24.06.19г.</t>
  </si>
  <si>
    <t>№299729/2019/2 от 24.06.19г.</t>
  </si>
  <si>
    <t>Работ по капитальному ремонту грузовых вагонов (КР) в количестве 854ед.</t>
  </si>
  <si>
    <r>
      <t xml:space="preserve">Временное объединение юридических лиц ТОО ТемирТрансСервис и ТОО Astana Railways Services
</t>
    </r>
    <r>
      <rPr>
        <sz val="10"/>
        <color rgb="FFFF0000"/>
        <rFont val="Times New Roman"/>
        <family val="1"/>
        <charset val="204"/>
      </rPr>
      <t>долгосрочный договор</t>
    </r>
  </si>
  <si>
    <t>до 31.12.24г</t>
  </si>
  <si>
    <t>ТОО "Камкор-Вагон"</t>
  </si>
  <si>
    <t>ТОО Astana Railways Services</t>
  </si>
  <si>
    <t>ПК Ибраев+К</t>
  </si>
  <si>
    <t>гарантийное письмо №25 от 15.01.20г</t>
  </si>
  <si>
    <t>гарантийное письмо №30 от 15.01.20г</t>
  </si>
  <si>
    <t>гарантийное письмо №31 от 15.01.20г</t>
  </si>
  <si>
    <t>гарантийное письмо №32 от 15.01.20г</t>
  </si>
  <si>
    <t>гарантийное письмо №26 от 16.01.20г</t>
  </si>
  <si>
    <t>ПК Аждар и К</t>
  </si>
  <si>
    <t>ТОО "КВК"</t>
  </si>
  <si>
    <t>Целевая программа "Обновление и реабилитация инфраструктуры"</t>
  </si>
  <si>
    <t>Экибастуз</t>
  </si>
  <si>
    <t>г. Экибастуз</t>
  </si>
  <si>
    <t>окт</t>
  </si>
  <si>
    <t>нояб</t>
  </si>
  <si>
    <t>дек</t>
  </si>
  <si>
    <t>Директор Департамента экономики и финансов</t>
  </si>
  <si>
    <t>А. Утепбергенов</t>
  </si>
  <si>
    <t>Б.Тыныштыкбаев</t>
  </si>
  <si>
    <t>Главный бухгалтер - Директор Департамента бухгалтерского учета</t>
  </si>
  <si>
    <t>М. Узенбаев</t>
  </si>
  <si>
    <t>* план утвержден СД "ҚТТ" от 11.06.2020г. (протокол № 6), скорректирован в рамках БК "ҚТТ" от 28.12.2020г. (протокол № №02-73)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</si>
</sst>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dd/mm/yy;@"/>
    <numFmt numFmtId="166" formatCode="_-* #,##0_р_._-;\-* #,##0_р_._-;_-* &quot;-&quot;??_р_._-;_-@_-"/>
    <numFmt numFmtId="167" formatCode="0.0%"/>
    <numFmt numFmtId="168" formatCode="0.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0"/>
      <name val="Arial Cyr"/>
      <charset val="204"/>
    </font>
    <font>
      <sz val="16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24" fillId="0" borderId="0"/>
  </cellStyleXfs>
  <cellXfs count="6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3" fontId="2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12" fillId="0" borderId="1" xfId="3" applyNumberFormat="1" applyFont="1" applyBorder="1" applyAlignment="1">
      <alignment horizontal="center" vertical="center" wrapText="1"/>
    </xf>
    <xf numFmtId="3" fontId="12" fillId="0" borderId="3" xfId="3" applyNumberFormat="1" applyFont="1" applyBorder="1" applyAlignment="1">
      <alignment horizontal="center" vertical="center" wrapText="1"/>
    </xf>
    <xf numFmtId="3" fontId="12" fillId="0" borderId="5" xfId="3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12" fillId="0" borderId="1" xfId="1" applyNumberFormat="1" applyFont="1" applyFill="1" applyBorder="1" applyAlignment="1">
      <alignment horizontal="center" vertical="center" wrapText="1"/>
    </xf>
    <xf numFmtId="3" fontId="15" fillId="0" borderId="1" xfId="3" applyNumberFormat="1" applyFont="1" applyBorder="1" applyAlignment="1">
      <alignment horizontal="center" vertical="center" wrapText="1"/>
    </xf>
    <xf numFmtId="3" fontId="3" fillId="0" borderId="1" xfId="3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3" fontId="14" fillId="4" borderId="1" xfId="1" applyNumberFormat="1" applyFont="1" applyFill="1" applyBorder="1" applyAlignment="1">
      <alignment horizontal="right" vertical="center"/>
    </xf>
    <xf numFmtId="166" fontId="14" fillId="4" borderId="1" xfId="1" applyNumberFormat="1" applyFont="1" applyFill="1" applyBorder="1" applyAlignment="1">
      <alignment horizontal="right" vertical="center"/>
    </xf>
    <xf numFmtId="166" fontId="14" fillId="4" borderId="1" xfId="1" applyNumberFormat="1" applyFont="1" applyFill="1" applyBorder="1" applyAlignment="1">
      <alignment horizontal="right" vertical="center" wrapText="1"/>
    </xf>
    <xf numFmtId="4" fontId="14" fillId="4" borderId="1" xfId="1" applyNumberFormat="1" applyFont="1" applyFill="1" applyBorder="1" applyAlignment="1">
      <alignment horizontal="right" vertical="center"/>
    </xf>
    <xf numFmtId="167" fontId="14" fillId="4" borderId="1" xfId="2" applyNumberFormat="1" applyFont="1" applyFill="1" applyBorder="1" applyAlignment="1">
      <alignment vertical="center"/>
    </xf>
    <xf numFmtId="166" fontId="14" fillId="4" borderId="1" xfId="1" applyNumberFormat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166" fontId="2" fillId="4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9" fontId="14" fillId="4" borderId="1" xfId="2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3" fontId="2" fillId="5" borderId="1" xfId="1" applyNumberFormat="1" applyFont="1" applyFill="1" applyBorder="1" applyAlignment="1">
      <alignment horizontal="right" vertical="center"/>
    </xf>
    <xf numFmtId="166" fontId="2" fillId="5" borderId="1" xfId="1" applyNumberFormat="1" applyFont="1" applyFill="1" applyBorder="1" applyAlignment="1">
      <alignment horizontal="right" vertical="center"/>
    </xf>
    <xf numFmtId="166" fontId="2" fillId="5" borderId="1" xfId="1" applyNumberFormat="1" applyFont="1" applyFill="1" applyBorder="1" applyAlignment="1">
      <alignment horizontal="right" vertical="center" wrapText="1"/>
    </xf>
    <xf numFmtId="4" fontId="2" fillId="5" borderId="1" xfId="1" applyNumberFormat="1" applyFont="1" applyFill="1" applyBorder="1" applyAlignment="1">
      <alignment horizontal="right" vertical="center"/>
    </xf>
    <xf numFmtId="9" fontId="14" fillId="5" borderId="1" xfId="2" applyFont="1" applyFill="1" applyBorder="1" applyAlignment="1">
      <alignment vertical="center"/>
    </xf>
    <xf numFmtId="166" fontId="2" fillId="5" borderId="1" xfId="1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horizontal="left" vertical="center"/>
    </xf>
    <xf numFmtId="3" fontId="14" fillId="6" borderId="1" xfId="1" applyNumberFormat="1" applyFont="1" applyFill="1" applyBorder="1" applyAlignment="1">
      <alignment horizontal="right" vertical="center"/>
    </xf>
    <xf numFmtId="166" fontId="14" fillId="6" borderId="1" xfId="1" applyNumberFormat="1" applyFont="1" applyFill="1" applyBorder="1" applyAlignment="1">
      <alignment horizontal="right" vertical="center"/>
    </xf>
    <xf numFmtId="166" fontId="14" fillId="6" borderId="1" xfId="1" applyNumberFormat="1" applyFont="1" applyFill="1" applyBorder="1" applyAlignment="1">
      <alignment horizontal="right" vertical="center" wrapText="1"/>
    </xf>
    <xf numFmtId="4" fontId="14" fillId="6" borderId="1" xfId="1" applyNumberFormat="1" applyFont="1" applyFill="1" applyBorder="1" applyAlignment="1">
      <alignment horizontal="right" vertical="center"/>
    </xf>
    <xf numFmtId="9" fontId="14" fillId="6" borderId="1" xfId="2" applyFont="1" applyFill="1" applyBorder="1" applyAlignment="1">
      <alignment vertical="center"/>
    </xf>
    <xf numFmtId="166" fontId="14" fillId="6" borderId="1" xfId="1" applyNumberFormat="1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166" fontId="2" fillId="6" borderId="1" xfId="0" applyNumberFormat="1" applyFont="1" applyFill="1" applyBorder="1" applyAlignment="1">
      <alignment horizontal="center" vertical="center"/>
    </xf>
    <xf numFmtId="166" fontId="5" fillId="6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left" vertical="center"/>
    </xf>
    <xf numFmtId="3" fontId="2" fillId="7" borderId="1" xfId="1" applyNumberFormat="1" applyFont="1" applyFill="1" applyBorder="1" applyAlignment="1">
      <alignment horizontal="right" vertical="center"/>
    </xf>
    <xf numFmtId="166" fontId="2" fillId="7" borderId="1" xfId="1" applyNumberFormat="1" applyFont="1" applyFill="1" applyBorder="1" applyAlignment="1">
      <alignment horizontal="right" vertical="center"/>
    </xf>
    <xf numFmtId="166" fontId="2" fillId="7" borderId="1" xfId="1" applyNumberFormat="1" applyFont="1" applyFill="1" applyBorder="1" applyAlignment="1">
      <alignment horizontal="right" vertical="center" wrapText="1"/>
    </xf>
    <xf numFmtId="4" fontId="2" fillId="7" borderId="1" xfId="1" applyNumberFormat="1" applyFont="1" applyFill="1" applyBorder="1" applyAlignment="1">
      <alignment horizontal="right" vertical="center"/>
    </xf>
    <xf numFmtId="9" fontId="14" fillId="7" borderId="1" xfId="2" applyFont="1" applyFill="1" applyBorder="1" applyAlignment="1">
      <alignment vertical="center"/>
    </xf>
    <xf numFmtId="166" fontId="2" fillId="7" borderId="1" xfId="1" applyNumberFormat="1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3" fontId="14" fillId="3" borderId="1" xfId="1" applyNumberFormat="1" applyFont="1" applyFill="1" applyBorder="1" applyAlignment="1">
      <alignment horizontal="right" vertical="center"/>
    </xf>
    <xf numFmtId="0" fontId="14" fillId="3" borderId="1" xfId="1" applyNumberFormat="1" applyFont="1" applyFill="1" applyBorder="1" applyAlignment="1">
      <alignment horizontal="center" vertical="center" wrapText="1"/>
    </xf>
    <xf numFmtId="3" fontId="14" fillId="3" borderId="1" xfId="1" applyNumberFormat="1" applyFont="1" applyFill="1" applyBorder="1" applyAlignment="1">
      <alignment vertical="center"/>
    </xf>
    <xf numFmtId="166" fontId="12" fillId="3" borderId="1" xfId="1" applyNumberFormat="1" applyFont="1" applyFill="1" applyBorder="1" applyAlignment="1">
      <alignment horizontal="left" vertical="center" wrapText="1"/>
    </xf>
    <xf numFmtId="166" fontId="14" fillId="3" borderId="1" xfId="1" applyNumberFormat="1" applyFont="1" applyFill="1" applyBorder="1" applyAlignment="1">
      <alignment horizontal="left" vertical="center"/>
    </xf>
    <xf numFmtId="166" fontId="14" fillId="3" borderId="1" xfId="1" applyNumberFormat="1" applyFont="1" applyFill="1" applyBorder="1" applyAlignment="1">
      <alignment horizontal="center" vertical="center"/>
    </xf>
    <xf numFmtId="4" fontId="14" fillId="3" borderId="1" xfId="1" applyNumberFormat="1" applyFont="1" applyFill="1" applyBorder="1" applyAlignment="1">
      <alignment vertical="center"/>
    </xf>
    <xf numFmtId="166" fontId="14" fillId="3" borderId="1" xfId="1" applyNumberFormat="1" applyFont="1" applyFill="1" applyBorder="1" applyAlignment="1">
      <alignment horizontal="left" vertical="center" wrapText="1"/>
    </xf>
    <xf numFmtId="9" fontId="14" fillId="3" borderId="1" xfId="2" applyFont="1" applyFill="1" applyBorder="1" applyAlignment="1">
      <alignment vertical="center"/>
    </xf>
    <xf numFmtId="166" fontId="14" fillId="3" borderId="1" xfId="1" applyNumberFormat="1" applyFont="1" applyFill="1" applyBorder="1" applyAlignment="1">
      <alignment horizontal="right" vertical="center"/>
    </xf>
    <xf numFmtId="3" fontId="2" fillId="3" borderId="1" xfId="1" applyNumberFormat="1" applyFont="1" applyFill="1" applyBorder="1" applyAlignment="1">
      <alignment horizontal="right" vertical="center"/>
    </xf>
    <xf numFmtId="166" fontId="14" fillId="3" borderId="1" xfId="1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166" fontId="2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2" fillId="8" borderId="1" xfId="0" applyFont="1" applyFill="1" applyBorder="1" applyAlignment="1">
      <alignment horizontal="left" vertical="center"/>
    </xf>
    <xf numFmtId="3" fontId="2" fillId="8" borderId="1" xfId="1" applyNumberFormat="1" applyFont="1" applyFill="1" applyBorder="1" applyAlignment="1">
      <alignment horizontal="right" vertical="center"/>
    </xf>
    <xf numFmtId="0" fontId="2" fillId="8" borderId="1" xfId="1" applyNumberFormat="1" applyFont="1" applyFill="1" applyBorder="1" applyAlignment="1">
      <alignment horizontal="center" vertical="center" wrapText="1"/>
    </xf>
    <xf numFmtId="3" fontId="2" fillId="8" borderId="1" xfId="1" applyNumberFormat="1" applyFont="1" applyFill="1" applyBorder="1" applyAlignment="1">
      <alignment vertical="center"/>
    </xf>
    <xf numFmtId="166" fontId="3" fillId="8" borderId="1" xfId="1" applyNumberFormat="1" applyFont="1" applyFill="1" applyBorder="1" applyAlignment="1">
      <alignment horizontal="left" vertical="center" wrapText="1"/>
    </xf>
    <xf numFmtId="166" fontId="2" fillId="8" borderId="1" xfId="1" applyNumberFormat="1" applyFont="1" applyFill="1" applyBorder="1" applyAlignment="1">
      <alignment horizontal="left" vertical="center"/>
    </xf>
    <xf numFmtId="166" fontId="2" fillId="8" borderId="1" xfId="1" applyNumberFormat="1" applyFont="1" applyFill="1" applyBorder="1" applyAlignment="1">
      <alignment horizontal="center" vertical="center"/>
    </xf>
    <xf numFmtId="4" fontId="2" fillId="8" borderId="1" xfId="1" applyNumberFormat="1" applyFont="1" applyFill="1" applyBorder="1" applyAlignment="1">
      <alignment vertical="center"/>
    </xf>
    <xf numFmtId="9" fontId="2" fillId="8" borderId="1" xfId="2" applyFont="1" applyFill="1" applyBorder="1" applyAlignment="1">
      <alignment vertical="center"/>
    </xf>
    <xf numFmtId="166" fontId="2" fillId="8" borderId="1" xfId="1" applyNumberFormat="1" applyFont="1" applyFill="1" applyBorder="1" applyAlignment="1">
      <alignment vertical="center"/>
    </xf>
    <xf numFmtId="0" fontId="2" fillId="8" borderId="0" xfId="0" applyFont="1" applyFill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3" fontId="14" fillId="0" borderId="1" xfId="1" applyNumberFormat="1" applyFont="1" applyBorder="1" applyAlignment="1">
      <alignment horizontal="right" vertical="center"/>
    </xf>
    <xf numFmtId="3" fontId="14" fillId="0" borderId="1" xfId="1" applyNumberFormat="1" applyFont="1" applyBorder="1" applyAlignment="1">
      <alignment vertical="center"/>
    </xf>
    <xf numFmtId="4" fontId="14" fillId="0" borderId="1" xfId="1" applyNumberFormat="1" applyFont="1" applyBorder="1" applyAlignment="1">
      <alignment vertical="center"/>
    </xf>
    <xf numFmtId="9" fontId="14" fillId="0" borderId="1" xfId="2" applyFont="1" applyBorder="1" applyAlignment="1">
      <alignment vertical="center"/>
    </xf>
    <xf numFmtId="166" fontId="14" fillId="0" borderId="1" xfId="1" applyNumberFormat="1" applyFont="1" applyBorder="1" applyAlignment="1">
      <alignment horizontal="right" vertical="center"/>
    </xf>
    <xf numFmtId="166" fontId="14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vertical="center"/>
    </xf>
    <xf numFmtId="166" fontId="2" fillId="0" borderId="1" xfId="1" applyNumberFormat="1" applyFont="1" applyBorder="1" applyAlignment="1">
      <alignment horizontal="right" vertical="center"/>
    </xf>
    <xf numFmtId="166" fontId="2" fillId="0" borderId="1" xfId="1" applyNumberFormat="1" applyFont="1" applyBorder="1" applyAlignment="1">
      <alignment vertical="center"/>
    </xf>
    <xf numFmtId="4" fontId="14" fillId="3" borderId="1" xfId="1" applyNumberFormat="1" applyFont="1" applyFill="1" applyBorder="1" applyAlignment="1">
      <alignment horizontal="right" vertical="center"/>
    </xf>
    <xf numFmtId="4" fontId="2" fillId="8" borderId="1" xfId="1" applyNumberFormat="1" applyFont="1" applyFill="1" applyBorder="1" applyAlignment="1">
      <alignment horizontal="right" vertical="center"/>
    </xf>
    <xf numFmtId="166" fontId="2" fillId="8" borderId="1" xfId="1" applyNumberFormat="1" applyFont="1" applyFill="1" applyBorder="1" applyAlignment="1">
      <alignment horizontal="left" vertical="center" wrapText="1"/>
    </xf>
    <xf numFmtId="4" fontId="12" fillId="0" borderId="1" xfId="1" applyNumberFormat="1" applyFont="1" applyBorder="1" applyAlignment="1">
      <alignment vertical="center"/>
    </xf>
    <xf numFmtId="3" fontId="12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center" vertical="center"/>
    </xf>
    <xf numFmtId="166" fontId="2" fillId="0" borderId="2" xfId="1" applyNumberFormat="1" applyFont="1" applyBorder="1" applyAlignment="1">
      <alignment vertical="center" wrapText="1"/>
    </xf>
    <xf numFmtId="166" fontId="2" fillId="0" borderId="6" xfId="1" applyNumberFormat="1" applyFont="1" applyBorder="1" applyAlignment="1">
      <alignment vertical="center" wrapText="1"/>
    </xf>
    <xf numFmtId="3" fontId="2" fillId="0" borderId="1" xfId="1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3" fontId="17" fillId="0" borderId="1" xfId="1" applyNumberFormat="1" applyFont="1" applyBorder="1" applyAlignment="1">
      <alignment horizontal="right" vertical="center"/>
    </xf>
    <xf numFmtId="3" fontId="17" fillId="0" borderId="1" xfId="1" applyNumberFormat="1" applyFont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4" fontId="17" fillId="0" borderId="1" xfId="1" applyNumberFormat="1" applyFont="1" applyFill="1" applyBorder="1" applyAlignment="1">
      <alignment vertical="center"/>
    </xf>
    <xf numFmtId="3" fontId="17" fillId="0" borderId="1" xfId="1" applyNumberFormat="1" applyFont="1" applyFill="1" applyBorder="1" applyAlignment="1">
      <alignment vertical="center"/>
    </xf>
    <xf numFmtId="9" fontId="17" fillId="0" borderId="1" xfId="2" applyFont="1" applyBorder="1" applyAlignment="1">
      <alignment vertical="center"/>
    </xf>
    <xf numFmtId="166" fontId="17" fillId="0" borderId="1" xfId="1" applyNumberFormat="1" applyFont="1" applyBorder="1" applyAlignment="1">
      <alignment horizontal="right" vertical="center"/>
    </xf>
    <xf numFmtId="3" fontId="14" fillId="0" borderId="1" xfId="1" applyNumberFormat="1" applyFont="1" applyFill="1" applyBorder="1" applyAlignment="1">
      <alignment horizontal="right" vertical="center"/>
    </xf>
    <xf numFmtId="166" fontId="17" fillId="0" borderId="1" xfId="1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3" fontId="17" fillId="0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/>
    </xf>
    <xf numFmtId="4" fontId="4" fillId="0" borderId="1" xfId="1" applyNumberFormat="1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vertical="center"/>
    </xf>
    <xf numFmtId="9" fontId="4" fillId="0" borderId="1" xfId="2" applyFont="1" applyBorder="1" applyAlignment="1">
      <alignment vertical="center"/>
    </xf>
    <xf numFmtId="166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Fill="1" applyBorder="1" applyAlignment="1">
      <alignment horizontal="right" vertical="center"/>
    </xf>
    <xf numFmtId="166" fontId="4" fillId="0" borderId="1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4" fontId="17" fillId="0" borderId="1" xfId="1" applyNumberFormat="1" applyFont="1" applyBorder="1" applyAlignment="1">
      <alignment vertical="center"/>
    </xf>
    <xf numFmtId="3" fontId="14" fillId="0" borderId="1" xfId="1" applyNumberFormat="1" applyFont="1" applyFill="1" applyBorder="1" applyAlignment="1">
      <alignment vertical="center"/>
    </xf>
    <xf numFmtId="9" fontId="17" fillId="0" borderId="1" xfId="2" applyFont="1" applyFill="1" applyBorder="1" applyAlignment="1">
      <alignment vertical="center"/>
    </xf>
    <xf numFmtId="166" fontId="17" fillId="0" borderId="1" xfId="1" applyNumberFormat="1" applyFont="1" applyFill="1" applyBorder="1" applyAlignment="1">
      <alignment horizontal="right" vertical="center"/>
    </xf>
    <xf numFmtId="166" fontId="17" fillId="0" borderId="1" xfId="1" applyNumberFormat="1" applyFont="1" applyFill="1" applyBorder="1" applyAlignment="1">
      <alignment vertical="center"/>
    </xf>
    <xf numFmtId="4" fontId="4" fillId="0" borderId="1" xfId="1" applyNumberFormat="1" applyFont="1" applyBorder="1" applyAlignment="1">
      <alignment vertical="center"/>
    </xf>
    <xf numFmtId="3" fontId="2" fillId="0" borderId="1" xfId="1" applyNumberFormat="1" applyFont="1" applyFill="1" applyBorder="1" applyAlignment="1">
      <alignment vertical="center"/>
    </xf>
    <xf numFmtId="9" fontId="4" fillId="0" borderId="1" xfId="2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horizontal="right" vertical="center"/>
    </xf>
    <xf numFmtId="166" fontId="3" fillId="0" borderId="6" xfId="1" applyNumberFormat="1" applyFont="1" applyBorder="1" applyAlignment="1">
      <alignment vertical="center" wrapText="1"/>
    </xf>
    <xf numFmtId="3" fontId="16" fillId="0" borderId="1" xfId="1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horizontal="right" vertical="center"/>
    </xf>
    <xf numFmtId="3" fontId="3" fillId="0" borderId="2" xfId="1" applyNumberFormat="1" applyFont="1" applyBorder="1" applyAlignment="1">
      <alignment horizontal="right" vertical="center"/>
    </xf>
    <xf numFmtId="3" fontId="12" fillId="0" borderId="1" xfId="1" applyNumberFormat="1" applyFont="1" applyBorder="1" applyAlignment="1">
      <alignment horizontal="right" vertical="center"/>
    </xf>
    <xf numFmtId="9" fontId="12" fillId="0" borderId="1" xfId="2" applyFont="1" applyBorder="1" applyAlignment="1">
      <alignment vertical="center"/>
    </xf>
    <xf numFmtId="3" fontId="3" fillId="0" borderId="1" xfId="1" applyNumberFormat="1" applyFont="1" applyBorder="1" applyAlignment="1">
      <alignment horizontal="right" vertical="center"/>
    </xf>
    <xf numFmtId="9" fontId="3" fillId="0" borderId="1" xfId="2" applyFont="1" applyBorder="1" applyAlignment="1">
      <alignment vertical="center"/>
    </xf>
    <xf numFmtId="3" fontId="12" fillId="0" borderId="1" xfId="1" applyNumberFormat="1" applyFont="1" applyBorder="1" applyAlignment="1">
      <alignment vertical="center"/>
    </xf>
    <xf numFmtId="3" fontId="16" fillId="4" borderId="1" xfId="1" applyNumberFormat="1" applyFont="1" applyFill="1" applyBorder="1" applyAlignment="1">
      <alignment horizontal="right" vertical="center"/>
    </xf>
    <xf numFmtId="3" fontId="3" fillId="0" borderId="1" xfId="1" applyNumberFormat="1" applyFont="1" applyBorder="1" applyAlignment="1">
      <alignment vertical="center"/>
    </xf>
    <xf numFmtId="3" fontId="2" fillId="4" borderId="1" xfId="1" applyNumberFormat="1" applyFont="1" applyFill="1" applyBorder="1" applyAlignment="1">
      <alignment horizontal="right" vertical="center"/>
    </xf>
    <xf numFmtId="3" fontId="5" fillId="4" borderId="1" xfId="1" applyNumberFormat="1" applyFont="1" applyFill="1" applyBorder="1" applyAlignment="1">
      <alignment horizontal="right" vertical="center"/>
    </xf>
    <xf numFmtId="9" fontId="14" fillId="8" borderId="1" xfId="2" applyFont="1" applyFill="1" applyBorder="1" applyAlignment="1">
      <alignment vertical="center"/>
    </xf>
    <xf numFmtId="166" fontId="2" fillId="8" borderId="1" xfId="1" applyNumberFormat="1" applyFont="1" applyFill="1" applyBorder="1" applyAlignment="1">
      <alignment horizontal="right" vertical="center"/>
    </xf>
    <xf numFmtId="4" fontId="12" fillId="0" borderId="1" xfId="4" applyNumberFormat="1" applyFont="1" applyBorder="1" applyAlignment="1">
      <alignment horizontal="right" vertical="center" wrapText="1"/>
    </xf>
    <xf numFmtId="4" fontId="3" fillId="0" borderId="1" xfId="4" applyNumberFormat="1" applyFont="1" applyBorder="1" applyAlignment="1">
      <alignment horizontal="right" vertical="center" wrapText="1"/>
    </xf>
    <xf numFmtId="3" fontId="14" fillId="0" borderId="1" xfId="1" applyNumberFormat="1" applyFont="1" applyBorder="1" applyAlignment="1" applyProtection="1">
      <alignment horizontal="right" vertical="center"/>
      <protection hidden="1"/>
    </xf>
    <xf numFmtId="166" fontId="16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vertical="center"/>
    </xf>
    <xf numFmtId="10" fontId="14" fillId="3" borderId="1" xfId="2" applyNumberFormat="1" applyFont="1" applyFill="1" applyBorder="1" applyAlignment="1">
      <alignment vertical="center"/>
    </xf>
    <xf numFmtId="0" fontId="14" fillId="9" borderId="1" xfId="0" applyFont="1" applyFill="1" applyBorder="1" applyAlignment="1">
      <alignment horizontal="left" vertical="center"/>
    </xf>
    <xf numFmtId="3" fontId="14" fillId="9" borderId="1" xfId="1" applyNumberFormat="1" applyFont="1" applyFill="1" applyBorder="1" applyAlignment="1">
      <alignment vertical="center" wrapText="1"/>
    </xf>
    <xf numFmtId="166" fontId="14" fillId="9" borderId="1" xfId="1" applyNumberFormat="1" applyFont="1" applyFill="1" applyBorder="1" applyAlignment="1">
      <alignment vertical="center" wrapText="1"/>
    </xf>
    <xf numFmtId="4" fontId="14" fillId="9" borderId="1" xfId="1" applyNumberFormat="1" applyFont="1" applyFill="1" applyBorder="1" applyAlignment="1">
      <alignment vertical="center" wrapText="1"/>
    </xf>
    <xf numFmtId="0" fontId="14" fillId="9" borderId="1" xfId="0" applyFont="1" applyFill="1" applyBorder="1" applyAlignment="1">
      <alignment horizontal="left" vertical="center" wrapText="1"/>
    </xf>
    <xf numFmtId="3" fontId="14" fillId="9" borderId="1" xfId="1" applyNumberFormat="1" applyFont="1" applyFill="1" applyBorder="1" applyAlignment="1">
      <alignment horizontal="right" vertical="center"/>
    </xf>
    <xf numFmtId="9" fontId="14" fillId="9" borderId="1" xfId="2" applyFont="1" applyFill="1" applyBorder="1" applyAlignment="1">
      <alignment vertical="center"/>
    </xf>
    <xf numFmtId="166" fontId="2" fillId="9" borderId="1" xfId="1" applyNumberFormat="1" applyFont="1" applyFill="1" applyBorder="1" applyAlignment="1">
      <alignment horizontal="left" vertical="center"/>
    </xf>
    <xf numFmtId="0" fontId="14" fillId="9" borderId="1" xfId="0" applyFont="1" applyFill="1" applyBorder="1" applyAlignment="1">
      <alignment vertical="center"/>
    </xf>
    <xf numFmtId="3" fontId="12" fillId="9" borderId="1" xfId="3" applyNumberFormat="1" applyFont="1" applyFill="1" applyBorder="1" applyAlignment="1">
      <alignment vertical="center" wrapText="1"/>
    </xf>
    <xf numFmtId="0" fontId="14" fillId="9" borderId="0" xfId="0" applyFont="1" applyFill="1" applyAlignment="1">
      <alignment vertical="center"/>
    </xf>
    <xf numFmtId="0" fontId="14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vertical="center"/>
    </xf>
    <xf numFmtId="3" fontId="14" fillId="9" borderId="1" xfId="1" applyNumberFormat="1" applyFont="1" applyFill="1" applyBorder="1" applyAlignment="1">
      <alignment horizontal="right" vertical="center" wrapText="1"/>
    </xf>
    <xf numFmtId="3" fontId="14" fillId="9" borderId="1" xfId="1" applyNumberFormat="1" applyFont="1" applyFill="1" applyBorder="1" applyAlignment="1">
      <alignment vertical="center"/>
    </xf>
    <xf numFmtId="0" fontId="14" fillId="10" borderId="1" xfId="0" applyFont="1" applyFill="1" applyBorder="1" applyAlignment="1">
      <alignment horizontal="left" vertical="center"/>
    </xf>
    <xf numFmtId="3" fontId="12" fillId="10" borderId="1" xfId="1" applyNumberFormat="1" applyFont="1" applyFill="1" applyBorder="1" applyAlignment="1">
      <alignment horizontal="right" vertical="center"/>
    </xf>
    <xf numFmtId="3" fontId="12" fillId="10" borderId="1" xfId="1" applyNumberFormat="1" applyFont="1" applyFill="1" applyBorder="1" applyAlignment="1">
      <alignment vertical="center"/>
    </xf>
    <xf numFmtId="4" fontId="14" fillId="10" borderId="1" xfId="1" applyNumberFormat="1" applyFont="1" applyFill="1" applyBorder="1" applyAlignment="1">
      <alignment vertical="center"/>
    </xf>
    <xf numFmtId="3" fontId="14" fillId="10" borderId="1" xfId="1" applyNumberFormat="1" applyFont="1" applyFill="1" applyBorder="1" applyAlignment="1">
      <alignment vertical="center"/>
    </xf>
    <xf numFmtId="3" fontId="14" fillId="10" borderId="1" xfId="1" applyNumberFormat="1" applyFont="1" applyFill="1" applyBorder="1" applyAlignment="1">
      <alignment horizontal="right" vertical="center"/>
    </xf>
    <xf numFmtId="9" fontId="14" fillId="10" borderId="1" xfId="2" applyFont="1" applyFill="1" applyBorder="1" applyAlignment="1">
      <alignment vertical="center"/>
    </xf>
    <xf numFmtId="166" fontId="14" fillId="10" borderId="1" xfId="1" applyNumberFormat="1" applyFont="1" applyFill="1" applyBorder="1" applyAlignment="1">
      <alignment horizontal="right" vertical="center"/>
    </xf>
    <xf numFmtId="3" fontId="16" fillId="10" borderId="1" xfId="1" applyNumberFormat="1" applyFont="1" applyFill="1" applyBorder="1" applyAlignment="1">
      <alignment horizontal="right" vertical="center"/>
    </xf>
    <xf numFmtId="0" fontId="14" fillId="10" borderId="1" xfId="0" applyFont="1" applyFill="1" applyBorder="1" applyAlignment="1">
      <alignment vertical="center"/>
    </xf>
    <xf numFmtId="0" fontId="14" fillId="10" borderId="0" xfId="0" applyFont="1" applyFill="1" applyAlignment="1">
      <alignment vertical="center"/>
    </xf>
    <xf numFmtId="0" fontId="14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left" vertical="center"/>
    </xf>
    <xf numFmtId="3" fontId="12" fillId="10" borderId="1" xfId="3" applyNumberFormat="1" applyFont="1" applyFill="1" applyBorder="1" applyAlignment="1">
      <alignment vertical="center" wrapText="1"/>
    </xf>
    <xf numFmtId="3" fontId="12" fillId="0" borderId="1" xfId="3" applyNumberFormat="1" applyFont="1" applyBorder="1" applyAlignment="1">
      <alignment vertical="center" wrapText="1"/>
    </xf>
    <xf numFmtId="3" fontId="3" fillId="0" borderId="1" xfId="3" applyNumberFormat="1" applyFont="1" applyBorder="1" applyAlignment="1">
      <alignment vertical="center" wrapText="1"/>
    </xf>
    <xf numFmtId="3" fontId="12" fillId="10" borderId="3" xfId="1" applyNumberFormat="1" applyFont="1" applyFill="1" applyBorder="1" applyAlignment="1">
      <alignment vertical="center"/>
    </xf>
    <xf numFmtId="4" fontId="14" fillId="10" borderId="5" xfId="1" applyNumberFormat="1" applyFont="1" applyFill="1" applyBorder="1" applyAlignment="1">
      <alignment vertical="center"/>
    </xf>
    <xf numFmtId="3" fontId="12" fillId="0" borderId="3" xfId="1" applyNumberFormat="1" applyFont="1" applyBorder="1" applyAlignment="1">
      <alignment vertical="center"/>
    </xf>
    <xf numFmtId="4" fontId="14" fillId="0" borderId="5" xfId="1" applyNumberFormat="1" applyFont="1" applyBorder="1" applyAlignment="1">
      <alignment vertical="center"/>
    </xf>
    <xf numFmtId="3" fontId="3" fillId="0" borderId="3" xfId="1" applyNumberFormat="1" applyFont="1" applyBorder="1" applyAlignment="1">
      <alignment vertical="center"/>
    </xf>
    <xf numFmtId="4" fontId="2" fillId="0" borderId="5" xfId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14" fillId="9" borderId="1" xfId="1" applyNumberFormat="1" applyFont="1" applyFill="1" applyBorder="1" applyAlignment="1">
      <alignment vertical="center"/>
    </xf>
    <xf numFmtId="4" fontId="14" fillId="9" borderId="1" xfId="1" applyNumberFormat="1" applyFont="1" applyFill="1" applyBorder="1" applyAlignment="1">
      <alignment horizontal="center" vertical="center"/>
    </xf>
    <xf numFmtId="4" fontId="14" fillId="9" borderId="1" xfId="1" applyNumberFormat="1" applyFont="1" applyFill="1" applyBorder="1" applyAlignment="1">
      <alignment horizontal="right" vertical="center"/>
    </xf>
    <xf numFmtId="166" fontId="14" fillId="9" borderId="1" xfId="1" applyNumberFormat="1" applyFont="1" applyFill="1" applyBorder="1" applyAlignment="1">
      <alignment horizontal="right" vertical="center"/>
    </xf>
    <xf numFmtId="3" fontId="12" fillId="0" borderId="1" xfId="1" applyNumberFormat="1" applyFont="1" applyBorder="1" applyAlignment="1">
      <alignment horizontal="right" vertical="center" wrapText="1"/>
    </xf>
    <xf numFmtId="3" fontId="12" fillId="0" borderId="1" xfId="1" applyNumberFormat="1" applyFont="1" applyBorder="1" applyAlignment="1">
      <alignment vertical="center" wrapText="1"/>
    </xf>
    <xf numFmtId="3" fontId="3" fillId="0" borderId="1" xfId="1" applyNumberFormat="1" applyFont="1" applyBorder="1" applyAlignment="1">
      <alignment horizontal="right" vertical="center" wrapText="1"/>
    </xf>
    <xf numFmtId="3" fontId="3" fillId="0" borderId="1" xfId="1" applyNumberFormat="1" applyFont="1" applyBorder="1" applyAlignment="1">
      <alignment vertical="center" wrapText="1"/>
    </xf>
    <xf numFmtId="166" fontId="14" fillId="10" borderId="1" xfId="1" applyNumberFormat="1" applyFont="1" applyFill="1" applyBorder="1" applyAlignment="1">
      <alignment vertical="center"/>
    </xf>
    <xf numFmtId="4" fontId="3" fillId="0" borderId="1" xfId="1" applyNumberFormat="1" applyFont="1" applyBorder="1" applyAlignment="1">
      <alignment vertical="center"/>
    </xf>
    <xf numFmtId="3" fontId="12" fillId="9" borderId="1" xfId="1" applyNumberFormat="1" applyFont="1" applyFill="1" applyBorder="1" applyAlignment="1">
      <alignment vertical="center"/>
    </xf>
    <xf numFmtId="166" fontId="12" fillId="9" borderId="1" xfId="1" applyNumberFormat="1" applyFont="1" applyFill="1" applyBorder="1" applyAlignment="1">
      <alignment vertical="center"/>
    </xf>
    <xf numFmtId="4" fontId="12" fillId="9" borderId="1" xfId="1" applyNumberFormat="1" applyFont="1" applyFill="1" applyBorder="1" applyAlignment="1">
      <alignment vertical="center"/>
    </xf>
    <xf numFmtId="3" fontId="12" fillId="9" borderId="1" xfId="1" applyNumberFormat="1" applyFont="1" applyFill="1" applyBorder="1" applyAlignment="1">
      <alignment horizontal="right" vertical="center"/>
    </xf>
    <xf numFmtId="166" fontId="14" fillId="0" borderId="1" xfId="0" applyNumberFormat="1" applyFont="1" applyBorder="1" applyAlignment="1">
      <alignment horizontal="center" vertical="center"/>
    </xf>
    <xf numFmtId="166" fontId="16" fillId="0" borderId="1" xfId="0" applyNumberFormat="1" applyFont="1" applyBorder="1" applyAlignment="1">
      <alignment vertical="center"/>
    </xf>
    <xf numFmtId="166" fontId="14" fillId="9" borderId="1" xfId="0" applyNumberFormat="1" applyFont="1" applyFill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4" fontId="12" fillId="10" borderId="1" xfId="1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" fontId="14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168" fontId="5" fillId="0" borderId="1" xfId="0" applyNumberFormat="1" applyFont="1" applyBorder="1" applyAlignment="1">
      <alignment vertical="center"/>
    </xf>
    <xf numFmtId="3" fontId="3" fillId="4" borderId="1" xfId="1" applyNumberFormat="1" applyFont="1" applyFill="1" applyBorder="1" applyAlignment="1">
      <alignment horizontal="right" vertical="center"/>
    </xf>
    <xf numFmtId="4" fontId="16" fillId="10" borderId="1" xfId="1" applyNumberFormat="1" applyFont="1" applyFill="1" applyBorder="1" applyAlignment="1">
      <alignment vertical="center"/>
    </xf>
    <xf numFmtId="3" fontId="16" fillId="10" borderId="1" xfId="1" applyNumberFormat="1" applyFont="1" applyFill="1" applyBorder="1" applyAlignment="1">
      <alignment vertical="center"/>
    </xf>
    <xf numFmtId="167" fontId="14" fillId="10" borderId="1" xfId="2" applyNumberFormat="1" applyFont="1" applyFill="1" applyBorder="1" applyAlignment="1">
      <alignment vertical="center"/>
    </xf>
    <xf numFmtId="0" fontId="20" fillId="10" borderId="1" xfId="0" applyFont="1" applyFill="1" applyBorder="1" applyAlignment="1">
      <alignment horizontal="left" vertical="center"/>
    </xf>
    <xf numFmtId="3" fontId="21" fillId="10" borderId="1" xfId="1" applyNumberFormat="1" applyFont="1" applyFill="1" applyBorder="1" applyAlignment="1">
      <alignment horizontal="right" vertical="center"/>
    </xf>
    <xf numFmtId="3" fontId="21" fillId="10" borderId="1" xfId="1" applyNumberFormat="1" applyFont="1" applyFill="1" applyBorder="1" applyAlignment="1">
      <alignment vertical="center"/>
    </xf>
    <xf numFmtId="4" fontId="20" fillId="10" borderId="1" xfId="1" applyNumberFormat="1" applyFont="1" applyFill="1" applyBorder="1" applyAlignment="1">
      <alignment vertical="center"/>
    </xf>
    <xf numFmtId="4" fontId="21" fillId="10" borderId="1" xfId="1" applyNumberFormat="1" applyFont="1" applyFill="1" applyBorder="1" applyAlignment="1">
      <alignment vertical="center"/>
    </xf>
    <xf numFmtId="3" fontId="10" fillId="0" borderId="1" xfId="1" applyNumberFormat="1" applyFont="1" applyBorder="1" applyAlignment="1">
      <alignment horizontal="right" vertical="center"/>
    </xf>
    <xf numFmtId="3" fontId="20" fillId="10" borderId="1" xfId="1" applyNumberFormat="1" applyFont="1" applyFill="1" applyBorder="1" applyAlignment="1">
      <alignment vertical="center"/>
    </xf>
    <xf numFmtId="3" fontId="20" fillId="10" borderId="1" xfId="1" applyNumberFormat="1" applyFont="1" applyFill="1" applyBorder="1" applyAlignment="1">
      <alignment horizontal="right" vertical="center"/>
    </xf>
    <xf numFmtId="3" fontId="20" fillId="3" borderId="1" xfId="1" applyNumberFormat="1" applyFont="1" applyFill="1" applyBorder="1" applyAlignment="1">
      <alignment vertical="center"/>
    </xf>
    <xf numFmtId="3" fontId="20" fillId="12" borderId="1" xfId="1" applyNumberFormat="1" applyFont="1" applyFill="1" applyBorder="1" applyAlignment="1">
      <alignment vertical="center"/>
    </xf>
    <xf numFmtId="3" fontId="22" fillId="10" borderId="1" xfId="1" applyNumberFormat="1" applyFont="1" applyFill="1" applyBorder="1" applyAlignment="1">
      <alignment horizontal="right" vertical="center"/>
    </xf>
    <xf numFmtId="9" fontId="20" fillId="10" borderId="1" xfId="2" applyFont="1" applyFill="1" applyBorder="1" applyAlignment="1">
      <alignment vertical="center"/>
    </xf>
    <xf numFmtId="166" fontId="20" fillId="10" borderId="1" xfId="1" applyNumberFormat="1" applyFont="1" applyFill="1" applyBorder="1" applyAlignment="1">
      <alignment horizontal="right" vertical="center"/>
    </xf>
    <xf numFmtId="0" fontId="20" fillId="10" borderId="1" xfId="0" applyFont="1" applyFill="1" applyBorder="1" applyAlignment="1">
      <alignment vertical="center"/>
    </xf>
    <xf numFmtId="0" fontId="20" fillId="10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0" fillId="0" borderId="1" xfId="0" applyFont="1" applyBorder="1" applyAlignment="1">
      <alignment horizontal="left" vertical="center"/>
    </xf>
    <xf numFmtId="3" fontId="21" fillId="0" borderId="1" xfId="1" applyNumberFormat="1" applyFont="1" applyBorder="1" applyAlignment="1">
      <alignment horizontal="right" vertical="center"/>
    </xf>
    <xf numFmtId="3" fontId="21" fillId="0" borderId="1" xfId="1" applyNumberFormat="1" applyFont="1" applyBorder="1" applyAlignment="1">
      <alignment vertical="center"/>
    </xf>
    <xf numFmtId="4" fontId="10" fillId="0" borderId="1" xfId="1" applyNumberFormat="1" applyFont="1" applyBorder="1" applyAlignment="1">
      <alignment vertical="center"/>
    </xf>
    <xf numFmtId="4" fontId="20" fillId="0" borderId="1" xfId="1" applyNumberFormat="1" applyFont="1" applyBorder="1" applyAlignment="1">
      <alignment vertical="center"/>
    </xf>
    <xf numFmtId="4" fontId="21" fillId="0" borderId="1" xfId="1" applyNumberFormat="1" applyFont="1" applyBorder="1" applyAlignment="1">
      <alignment vertical="center"/>
    </xf>
    <xf numFmtId="3" fontId="20" fillId="0" borderId="1" xfId="1" applyNumberFormat="1" applyFont="1" applyBorder="1" applyAlignment="1">
      <alignment vertical="center"/>
    </xf>
    <xf numFmtId="3" fontId="20" fillId="0" borderId="1" xfId="1" applyNumberFormat="1" applyFont="1" applyBorder="1" applyAlignment="1">
      <alignment horizontal="right" vertical="center"/>
    </xf>
    <xf numFmtId="9" fontId="20" fillId="0" borderId="1" xfId="2" applyFont="1" applyBorder="1" applyAlignment="1">
      <alignment vertical="center"/>
    </xf>
    <xf numFmtId="166" fontId="20" fillId="0" borderId="1" xfId="1" applyNumberFormat="1" applyFont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3" fontId="13" fillId="0" borderId="1" xfId="1" applyNumberFormat="1" applyFont="1" applyBorder="1" applyAlignment="1">
      <alignment horizontal="right" vertical="center"/>
    </xf>
    <xf numFmtId="3" fontId="13" fillId="0" borderId="1" xfId="1" applyNumberFormat="1" applyFont="1" applyBorder="1" applyAlignment="1">
      <alignment vertical="center"/>
    </xf>
    <xf numFmtId="4" fontId="13" fillId="0" borderId="1" xfId="1" applyNumberFormat="1" applyFont="1" applyBorder="1" applyAlignment="1">
      <alignment vertical="center"/>
    </xf>
    <xf numFmtId="3" fontId="10" fillId="0" borderId="1" xfId="1" applyNumberFormat="1" applyFont="1" applyBorder="1" applyAlignment="1">
      <alignment vertical="center"/>
    </xf>
    <xf numFmtId="3" fontId="10" fillId="3" borderId="1" xfId="1" applyNumberFormat="1" applyFont="1" applyFill="1" applyBorder="1" applyAlignment="1">
      <alignment vertical="center"/>
    </xf>
    <xf numFmtId="9" fontId="10" fillId="0" borderId="1" xfId="2" applyFont="1" applyBorder="1" applyAlignment="1">
      <alignment vertical="center"/>
    </xf>
    <xf numFmtId="166" fontId="10" fillId="0" borderId="1" xfId="1" applyNumberFormat="1" applyFont="1" applyBorder="1" applyAlignment="1">
      <alignment horizontal="right" vertical="center"/>
    </xf>
    <xf numFmtId="168" fontId="20" fillId="0" borderId="1" xfId="0" applyNumberFormat="1" applyFont="1" applyBorder="1" applyAlignment="1">
      <alignment vertical="center"/>
    </xf>
    <xf numFmtId="168" fontId="23" fillId="0" borderId="1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3" fontId="13" fillId="0" borderId="0" xfId="1" applyNumberFormat="1" applyFont="1" applyBorder="1" applyAlignment="1">
      <alignment horizontal="right" vertical="center"/>
    </xf>
    <xf numFmtId="0" fontId="3" fillId="0" borderId="4" xfId="1" applyNumberFormat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1" applyNumberFormat="1" applyFont="1" applyBorder="1" applyAlignment="1">
      <alignment vertical="center"/>
    </xf>
    <xf numFmtId="4" fontId="13" fillId="0" borderId="0" xfId="1" applyNumberFormat="1" applyFont="1" applyBorder="1" applyAlignment="1">
      <alignment vertical="center"/>
    </xf>
    <xf numFmtId="3" fontId="10" fillId="0" borderId="0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vertical="center"/>
    </xf>
    <xf numFmtId="9" fontId="10" fillId="0" borderId="0" xfId="2" applyFont="1" applyBorder="1" applyAlignment="1">
      <alignment vertical="center"/>
    </xf>
    <xf numFmtId="166" fontId="10" fillId="0" borderId="0" xfId="1" applyNumberFormat="1" applyFont="1" applyBorder="1" applyAlignment="1">
      <alignment horizontal="right" vertical="center"/>
    </xf>
    <xf numFmtId="3" fontId="20" fillId="0" borderId="0" xfId="1" applyNumberFormat="1" applyFont="1" applyBorder="1" applyAlignment="1">
      <alignment horizontal="right" vertical="center"/>
    </xf>
    <xf numFmtId="0" fontId="14" fillId="10" borderId="0" xfId="0" applyFont="1" applyFill="1" applyAlignment="1">
      <alignment horizontal="center" vertical="center"/>
    </xf>
    <xf numFmtId="0" fontId="14" fillId="13" borderId="7" xfId="0" applyFont="1" applyFill="1" applyBorder="1" applyAlignment="1">
      <alignment horizontal="left" vertical="center"/>
    </xf>
    <xf numFmtId="0" fontId="14" fillId="13" borderId="1" xfId="0" applyFont="1" applyFill="1" applyBorder="1" applyAlignment="1">
      <alignment horizontal="left" vertical="center"/>
    </xf>
    <xf numFmtId="3" fontId="12" fillId="13" borderId="1" xfId="1" applyNumberFormat="1" applyFont="1" applyFill="1" applyBorder="1" applyAlignment="1">
      <alignment horizontal="right" vertical="center"/>
    </xf>
    <xf numFmtId="0" fontId="12" fillId="13" borderId="1" xfId="1" applyNumberFormat="1" applyFont="1" applyFill="1" applyBorder="1" applyAlignment="1">
      <alignment horizontal="center" vertical="center" wrapText="1"/>
    </xf>
    <xf numFmtId="166" fontId="12" fillId="13" borderId="1" xfId="1" applyNumberFormat="1" applyFont="1" applyFill="1" applyBorder="1" applyAlignment="1">
      <alignment horizontal="left" vertical="center" wrapText="1"/>
    </xf>
    <xf numFmtId="166" fontId="12" fillId="13" borderId="1" xfId="1" applyNumberFormat="1" applyFont="1" applyFill="1" applyBorder="1" applyAlignment="1">
      <alignment horizontal="left" vertical="center"/>
    </xf>
    <xf numFmtId="166" fontId="12" fillId="13" borderId="1" xfId="1" applyNumberFormat="1" applyFont="1" applyFill="1" applyBorder="1" applyAlignment="1">
      <alignment horizontal="center" vertical="center"/>
    </xf>
    <xf numFmtId="4" fontId="12" fillId="13" borderId="1" xfId="1" applyNumberFormat="1" applyFont="1" applyFill="1" applyBorder="1" applyAlignment="1">
      <alignment horizontal="right" vertical="center"/>
    </xf>
    <xf numFmtId="3" fontId="12" fillId="13" borderId="1" xfId="1" applyNumberFormat="1" applyFont="1" applyFill="1" applyBorder="1" applyAlignment="1">
      <alignment vertical="center"/>
    </xf>
    <xf numFmtId="166" fontId="12" fillId="13" borderId="1" xfId="1" applyNumberFormat="1" applyFont="1" applyFill="1" applyBorder="1" applyAlignment="1">
      <alignment vertical="center"/>
    </xf>
    <xf numFmtId="166" fontId="12" fillId="13" borderId="1" xfId="1" applyNumberFormat="1" applyFont="1" applyFill="1" applyBorder="1" applyAlignment="1">
      <alignment horizontal="right" vertical="center"/>
    </xf>
    <xf numFmtId="166" fontId="12" fillId="13" borderId="7" xfId="1" applyNumberFormat="1" applyFont="1" applyFill="1" applyBorder="1" applyAlignment="1">
      <alignment vertical="center"/>
    </xf>
    <xf numFmtId="3" fontId="12" fillId="13" borderId="7" xfId="1" applyNumberFormat="1" applyFont="1" applyFill="1" applyBorder="1" applyAlignment="1">
      <alignment horizontal="right" vertical="center"/>
    </xf>
    <xf numFmtId="166" fontId="14" fillId="13" borderId="7" xfId="1" applyNumberFormat="1" applyFont="1" applyFill="1" applyBorder="1" applyAlignment="1">
      <alignment vertical="center"/>
    </xf>
    <xf numFmtId="0" fontId="14" fillId="13" borderId="0" xfId="0" applyFont="1" applyFill="1" applyAlignment="1">
      <alignment vertical="center"/>
    </xf>
    <xf numFmtId="166" fontId="14" fillId="13" borderId="7" xfId="0" applyNumberFormat="1" applyFont="1" applyFill="1" applyBorder="1" applyAlignment="1">
      <alignment horizontal="center" vertical="center"/>
    </xf>
    <xf numFmtId="166" fontId="16" fillId="13" borderId="7" xfId="0" applyNumberFormat="1" applyFont="1" applyFill="1" applyBorder="1" applyAlignment="1">
      <alignment vertical="center"/>
    </xf>
    <xf numFmtId="0" fontId="14" fillId="13" borderId="1" xfId="0" applyFont="1" applyFill="1" applyBorder="1" applyAlignment="1">
      <alignment horizontal="center" vertical="center"/>
    </xf>
    <xf numFmtId="166" fontId="14" fillId="13" borderId="1" xfId="1" applyNumberFormat="1" applyFont="1" applyFill="1" applyBorder="1" applyAlignment="1">
      <alignment vertical="center"/>
    </xf>
    <xf numFmtId="0" fontId="16" fillId="13" borderId="1" xfId="0" applyFont="1" applyFill="1" applyBorder="1" applyAlignment="1">
      <alignment vertical="center"/>
    </xf>
    <xf numFmtId="3" fontId="3" fillId="7" borderId="1" xfId="1" applyNumberFormat="1" applyFont="1" applyFill="1" applyBorder="1" applyAlignment="1">
      <alignment horizontal="right" vertical="center"/>
    </xf>
    <xf numFmtId="0" fontId="3" fillId="7" borderId="1" xfId="1" applyNumberFormat="1" applyFont="1" applyFill="1" applyBorder="1" applyAlignment="1">
      <alignment horizontal="center" vertical="center" wrapText="1"/>
    </xf>
    <xf numFmtId="166" fontId="3" fillId="7" borderId="1" xfId="1" applyNumberFormat="1" applyFont="1" applyFill="1" applyBorder="1" applyAlignment="1">
      <alignment horizontal="left" vertical="center" wrapText="1"/>
    </xf>
    <xf numFmtId="166" fontId="3" fillId="7" borderId="1" xfId="1" applyNumberFormat="1" applyFont="1" applyFill="1" applyBorder="1" applyAlignment="1">
      <alignment horizontal="left" vertical="center"/>
    </xf>
    <xf numFmtId="166" fontId="3" fillId="7" borderId="1" xfId="1" applyNumberFormat="1" applyFont="1" applyFill="1" applyBorder="1" applyAlignment="1">
      <alignment horizontal="center" vertical="center"/>
    </xf>
    <xf numFmtId="4" fontId="3" fillId="7" borderId="1" xfId="1" applyNumberFormat="1" applyFont="1" applyFill="1" applyBorder="1" applyAlignment="1">
      <alignment horizontal="right" vertical="center"/>
    </xf>
    <xf numFmtId="3" fontId="3" fillId="7" borderId="1" xfId="1" applyNumberFormat="1" applyFont="1" applyFill="1" applyBorder="1" applyAlignment="1">
      <alignment vertical="center"/>
    </xf>
    <xf numFmtId="166" fontId="3" fillId="7" borderId="1" xfId="1" applyNumberFormat="1" applyFont="1" applyFill="1" applyBorder="1" applyAlignment="1">
      <alignment vertical="center"/>
    </xf>
    <xf numFmtId="166" fontId="3" fillId="7" borderId="1" xfId="1" applyNumberFormat="1" applyFont="1" applyFill="1" applyBorder="1" applyAlignment="1">
      <alignment horizontal="right" vertical="center"/>
    </xf>
    <xf numFmtId="3" fontId="12" fillId="3" borderId="1" xfId="1" applyNumberFormat="1" applyFont="1" applyFill="1" applyBorder="1" applyAlignment="1">
      <alignment horizontal="right" vertical="center"/>
    </xf>
    <xf numFmtId="0" fontId="12" fillId="3" borderId="1" xfId="1" applyNumberFormat="1" applyFont="1" applyFill="1" applyBorder="1" applyAlignment="1">
      <alignment horizontal="center" vertical="center" wrapText="1"/>
    </xf>
    <xf numFmtId="3" fontId="12" fillId="3" borderId="1" xfId="1" applyNumberFormat="1" applyFont="1" applyFill="1" applyBorder="1" applyAlignment="1">
      <alignment vertical="center"/>
    </xf>
    <xf numFmtId="166" fontId="12" fillId="3" borderId="1" xfId="1" applyNumberFormat="1" applyFont="1" applyFill="1" applyBorder="1" applyAlignment="1">
      <alignment horizontal="left" vertical="center"/>
    </xf>
    <xf numFmtId="166" fontId="12" fillId="3" borderId="1" xfId="1" applyNumberFormat="1" applyFont="1" applyFill="1" applyBorder="1" applyAlignment="1">
      <alignment horizontal="center" vertical="center"/>
    </xf>
    <xf numFmtId="4" fontId="12" fillId="3" borderId="1" xfId="1" applyNumberFormat="1" applyFont="1" applyFill="1" applyBorder="1" applyAlignment="1">
      <alignment horizontal="right" vertical="center"/>
    </xf>
    <xf numFmtId="166" fontId="12" fillId="3" borderId="1" xfId="1" applyNumberFormat="1" applyFont="1" applyFill="1" applyBorder="1" applyAlignment="1">
      <alignment vertical="center"/>
    </xf>
    <xf numFmtId="166" fontId="12" fillId="3" borderId="1" xfId="1" applyNumberFormat="1" applyFont="1" applyFill="1" applyBorder="1" applyAlignment="1">
      <alignment horizontal="right" vertical="center"/>
    </xf>
    <xf numFmtId="166" fontId="12" fillId="0" borderId="1" xfId="1" applyNumberFormat="1" applyFont="1" applyBorder="1" applyAlignment="1">
      <alignment horizontal="left" vertical="center" wrapText="1"/>
    </xf>
    <xf numFmtId="166" fontId="14" fillId="0" borderId="1" xfId="1" applyNumberFormat="1" applyFont="1" applyBorder="1" applyAlignment="1">
      <alignment horizontal="left" vertical="center"/>
    </xf>
    <xf numFmtId="166" fontId="14" fillId="0" borderId="1" xfId="1" applyNumberFormat="1" applyFont="1" applyBorder="1" applyAlignment="1">
      <alignment horizontal="center" vertical="center"/>
    </xf>
    <xf numFmtId="4" fontId="14" fillId="0" borderId="1" xfId="1" applyNumberFormat="1" applyFont="1" applyBorder="1" applyAlignment="1">
      <alignment horizontal="right" vertical="center"/>
    </xf>
    <xf numFmtId="166" fontId="14" fillId="0" borderId="1" xfId="1" applyNumberFormat="1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4" fillId="14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left" vertical="center"/>
    </xf>
    <xf numFmtId="4" fontId="2" fillId="0" borderId="1" xfId="1" applyNumberFormat="1" applyFont="1" applyBorder="1" applyAlignment="1">
      <alignment horizontal="right" vertical="center"/>
    </xf>
    <xf numFmtId="166" fontId="2" fillId="0" borderId="1" xfId="1" applyNumberFormat="1" applyFont="1" applyBorder="1" applyAlignment="1">
      <alignment horizontal="left" vertical="center" wrapText="1"/>
    </xf>
    <xf numFmtId="3" fontId="2" fillId="14" borderId="1" xfId="1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/>
    <xf numFmtId="3" fontId="14" fillId="0" borderId="1" xfId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14" fillId="3" borderId="2" xfId="0" applyFont="1" applyFill="1" applyBorder="1" applyAlignment="1">
      <alignment horizontal="left" vertical="center"/>
    </xf>
    <xf numFmtId="3" fontId="12" fillId="3" borderId="2" xfId="1" applyNumberFormat="1" applyFont="1" applyFill="1" applyBorder="1" applyAlignment="1">
      <alignment horizontal="right" vertical="center"/>
    </xf>
    <xf numFmtId="0" fontId="12" fillId="3" borderId="2" xfId="1" applyNumberFormat="1" applyFont="1" applyFill="1" applyBorder="1" applyAlignment="1">
      <alignment horizontal="center" vertical="center" wrapText="1"/>
    </xf>
    <xf numFmtId="166" fontId="12" fillId="3" borderId="2" xfId="1" applyNumberFormat="1" applyFont="1" applyFill="1" applyBorder="1" applyAlignment="1">
      <alignment horizontal="left" vertical="center" wrapText="1"/>
    </xf>
    <xf numFmtId="166" fontId="12" fillId="3" borderId="2" xfId="1" applyNumberFormat="1" applyFont="1" applyFill="1" applyBorder="1" applyAlignment="1">
      <alignment horizontal="left" vertical="center"/>
    </xf>
    <xf numFmtId="166" fontId="12" fillId="3" borderId="2" xfId="1" applyNumberFormat="1" applyFont="1" applyFill="1" applyBorder="1" applyAlignment="1">
      <alignment horizontal="center" vertical="center"/>
    </xf>
    <xf numFmtId="4" fontId="12" fillId="3" borderId="2" xfId="1" applyNumberFormat="1" applyFont="1" applyFill="1" applyBorder="1" applyAlignment="1">
      <alignment horizontal="right" vertical="center"/>
    </xf>
    <xf numFmtId="166" fontId="12" fillId="3" borderId="2" xfId="1" applyNumberFormat="1" applyFont="1" applyFill="1" applyBorder="1" applyAlignment="1">
      <alignment horizontal="right" vertical="center"/>
    </xf>
    <xf numFmtId="166" fontId="12" fillId="3" borderId="2" xfId="1" applyNumberFormat="1" applyFont="1" applyFill="1" applyBorder="1" applyAlignment="1">
      <alignment vertical="center"/>
    </xf>
    <xf numFmtId="166" fontId="14" fillId="3" borderId="2" xfId="1" applyNumberFormat="1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3" fontId="14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1" applyNumberFormat="1" applyFont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vertical="center"/>
    </xf>
    <xf numFmtId="3" fontId="25" fillId="2" borderId="0" xfId="5" applyNumberFormat="1" applyFont="1" applyFill="1" applyAlignment="1">
      <alignment horizontal="left" vertical="center"/>
    </xf>
    <xf numFmtId="166" fontId="2" fillId="0" borderId="0" xfId="1" applyNumberFormat="1" applyFont="1" applyAlignment="1">
      <alignment horizontal="left" vertical="center" wrapText="1"/>
    </xf>
    <xf numFmtId="3" fontId="2" fillId="0" borderId="0" xfId="1" applyNumberFormat="1" applyFont="1" applyAlignment="1">
      <alignment vertical="center"/>
    </xf>
    <xf numFmtId="3" fontId="25" fillId="2" borderId="0" xfId="5" applyNumberFormat="1" applyFont="1" applyFill="1" applyAlignment="1">
      <alignment horizontal="right" vertical="center"/>
    </xf>
    <xf numFmtId="3" fontId="6" fillId="0" borderId="14" xfId="1" applyNumberFormat="1" applyFont="1" applyBorder="1" applyAlignment="1">
      <alignment vertical="center"/>
    </xf>
    <xf numFmtId="166" fontId="6" fillId="0" borderId="14" xfId="1" applyNumberFormat="1" applyFont="1" applyBorder="1" applyAlignment="1">
      <alignment horizontal="center" vertical="center"/>
    </xf>
    <xf numFmtId="166" fontId="3" fillId="0" borderId="0" xfId="1" applyNumberFormat="1" applyFont="1" applyAlignment="1">
      <alignment horizontal="left" vertical="center"/>
    </xf>
    <xf numFmtId="166" fontId="2" fillId="0" borderId="0" xfId="1" applyNumberFormat="1" applyFont="1" applyAlignment="1">
      <alignment horizontal="left" vertical="center"/>
    </xf>
    <xf numFmtId="166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vertical="center"/>
    </xf>
    <xf numFmtId="4" fontId="25" fillId="2" borderId="0" xfId="5" applyNumberFormat="1" applyFont="1" applyFill="1" applyAlignment="1">
      <alignment vertical="center"/>
    </xf>
    <xf numFmtId="0" fontId="26" fillId="0" borderId="0" xfId="0" applyFont="1"/>
    <xf numFmtId="3" fontId="27" fillId="0" borderId="0" xfId="0" applyNumberFormat="1" applyFont="1" applyAlignment="1">
      <alignment horizontal="left"/>
    </xf>
    <xf numFmtId="3" fontId="3" fillId="2" borderId="0" xfId="5" applyNumberFormat="1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3" fontId="27" fillId="0" borderId="0" xfId="0" applyNumberFormat="1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left"/>
    </xf>
    <xf numFmtId="4" fontId="27" fillId="0" borderId="0" xfId="0" applyNumberFormat="1" applyFont="1"/>
    <xf numFmtId="3" fontId="27" fillId="0" borderId="0" xfId="0" applyNumberFormat="1" applyFont="1" applyAlignment="1">
      <alignment horizontal="left" wrapText="1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6" fontId="14" fillId="0" borderId="2" xfId="1" applyNumberFormat="1" applyFont="1" applyBorder="1" applyAlignment="1">
      <alignment horizontal="left" vertical="center"/>
    </xf>
    <xf numFmtId="166" fontId="14" fillId="0" borderId="7" xfId="1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right" vertical="center"/>
    </xf>
    <xf numFmtId="0" fontId="14" fillId="13" borderId="7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14" fillId="13" borderId="7" xfId="0" applyFont="1" applyFill="1" applyBorder="1" applyAlignment="1">
      <alignment horizontal="left" vertical="center"/>
    </xf>
    <xf numFmtId="0" fontId="14" fillId="1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3" fontId="10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66" fontId="14" fillId="10" borderId="1" xfId="0" applyNumberFormat="1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3" fontId="14" fillId="10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2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7" xfId="1" applyNumberFormat="1" applyFont="1" applyBorder="1" applyAlignment="1">
      <alignment horizontal="right" vertical="center"/>
    </xf>
    <xf numFmtId="0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11" borderId="2" xfId="0" applyFont="1" applyFill="1" applyBorder="1" applyAlignment="1">
      <alignment horizontal="left" vertical="center" wrapText="1"/>
    </xf>
    <xf numFmtId="0" fontId="2" fillId="11" borderId="6" xfId="0" applyFont="1" applyFill="1" applyBorder="1" applyAlignment="1">
      <alignment horizontal="left" vertical="center" wrapText="1"/>
    </xf>
    <xf numFmtId="0" fontId="2" fillId="11" borderId="7" xfId="0" applyFont="1" applyFill="1" applyBorder="1" applyAlignment="1">
      <alignment horizontal="left" vertical="center" wrapText="1"/>
    </xf>
    <xf numFmtId="0" fontId="3" fillId="11" borderId="2" xfId="0" applyFont="1" applyFill="1" applyBorder="1" applyAlignment="1">
      <alignment horizontal="left" vertical="center" wrapText="1"/>
    </xf>
    <xf numFmtId="0" fontId="3" fillId="11" borderId="6" xfId="0" applyFont="1" applyFill="1" applyBorder="1" applyAlignment="1">
      <alignment horizontal="left" vertical="center" wrapText="1"/>
    </xf>
    <xf numFmtId="0" fontId="3" fillId="11" borderId="7" xfId="0" applyFont="1" applyFill="1" applyBorder="1" applyAlignment="1">
      <alignment horizontal="left" vertical="center" wrapText="1"/>
    </xf>
    <xf numFmtId="0" fontId="14" fillId="9" borderId="8" xfId="0" applyFont="1" applyFill="1" applyBorder="1" applyAlignment="1">
      <alignment horizontal="left" vertical="center" wrapText="1"/>
    </xf>
    <xf numFmtId="0" fontId="14" fillId="9" borderId="9" xfId="0" applyFont="1" applyFill="1" applyBorder="1" applyAlignment="1">
      <alignment horizontal="left" vertical="center" wrapText="1"/>
    </xf>
    <xf numFmtId="0" fontId="14" fillId="9" borderId="10" xfId="0" applyFont="1" applyFill="1" applyBorder="1" applyAlignment="1">
      <alignment horizontal="left" vertical="center" wrapText="1"/>
    </xf>
    <xf numFmtId="0" fontId="14" fillId="9" borderId="11" xfId="0" applyFont="1" applyFill="1" applyBorder="1" applyAlignment="1">
      <alignment horizontal="left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3" fontId="14" fillId="9" borderId="1" xfId="1" applyNumberFormat="1" applyFont="1" applyFill="1" applyBorder="1" applyAlignment="1">
      <alignment horizontal="right" vertic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right" vertical="center"/>
    </xf>
    <xf numFmtId="3" fontId="3" fillId="0" borderId="6" xfId="1" applyNumberFormat="1" applyFont="1" applyBorder="1" applyAlignment="1">
      <alignment horizontal="right" vertical="center"/>
    </xf>
    <xf numFmtId="3" fontId="3" fillId="0" borderId="7" xfId="1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11" borderId="9" xfId="0" applyFont="1" applyFill="1" applyBorder="1" applyAlignment="1">
      <alignment horizontal="left" vertical="center" wrapText="1"/>
    </xf>
    <xf numFmtId="0" fontId="2" fillId="11" borderId="12" xfId="0" applyFont="1" applyFill="1" applyBorder="1" applyAlignment="1">
      <alignment horizontal="left" vertical="center" wrapText="1"/>
    </xf>
    <xf numFmtId="0" fontId="2" fillId="11" borderId="11" xfId="0" applyFont="1" applyFill="1" applyBorder="1" applyAlignment="1">
      <alignment horizontal="left" vertical="center" wrapText="1"/>
    </xf>
    <xf numFmtId="3" fontId="14" fillId="9" borderId="2" xfId="1" applyNumberFormat="1" applyFont="1" applyFill="1" applyBorder="1" applyAlignment="1">
      <alignment horizontal="right" vertical="center"/>
    </xf>
    <xf numFmtId="3" fontId="14" fillId="9" borderId="7" xfId="1" applyNumberFormat="1" applyFont="1" applyFill="1" applyBorder="1" applyAlignment="1">
      <alignment horizontal="right" vertical="center"/>
    </xf>
    <xf numFmtId="0" fontId="3" fillId="0" borderId="2" xfId="4" applyFont="1" applyBorder="1" applyAlignment="1">
      <alignment horizontal="left" vertical="center" wrapText="1"/>
    </xf>
    <xf numFmtId="0" fontId="3" fillId="0" borderId="6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left" vertical="center" wrapText="1"/>
    </xf>
    <xf numFmtId="166" fontId="14" fillId="9" borderId="8" xfId="1" applyNumberFormat="1" applyFont="1" applyFill="1" applyBorder="1" applyAlignment="1">
      <alignment horizontal="left" vertical="center" wrapText="1"/>
    </xf>
    <xf numFmtId="166" fontId="14" fillId="9" borderId="9" xfId="1" applyNumberFormat="1" applyFont="1" applyFill="1" applyBorder="1" applyAlignment="1">
      <alignment horizontal="left" vertical="center" wrapText="1"/>
    </xf>
    <xf numFmtId="166" fontId="14" fillId="9" borderId="10" xfId="1" applyNumberFormat="1" applyFont="1" applyFill="1" applyBorder="1" applyAlignment="1">
      <alignment horizontal="left" vertical="center" wrapText="1"/>
    </xf>
    <xf numFmtId="166" fontId="14" fillId="9" borderId="11" xfId="1" applyNumberFormat="1" applyFont="1" applyFill="1" applyBorder="1" applyAlignment="1">
      <alignment horizontal="left" vertical="center" wrapText="1"/>
    </xf>
    <xf numFmtId="166" fontId="14" fillId="9" borderId="2" xfId="1" applyNumberFormat="1" applyFont="1" applyFill="1" applyBorder="1" applyAlignment="1">
      <alignment horizontal="center" vertical="center"/>
    </xf>
    <xf numFmtId="166" fontId="14" fillId="9" borderId="7" xfId="1" applyNumberFormat="1" applyFont="1" applyFill="1" applyBorder="1" applyAlignment="1">
      <alignment horizontal="center" vertical="center"/>
    </xf>
    <xf numFmtId="166" fontId="2" fillId="0" borderId="2" xfId="1" applyNumberFormat="1" applyFont="1" applyBorder="1" applyAlignment="1">
      <alignment horizontal="center" vertical="center"/>
    </xf>
    <xf numFmtId="166" fontId="2" fillId="0" borderId="6" xfId="1" applyNumberFormat="1" applyFont="1" applyBorder="1" applyAlignment="1">
      <alignment horizontal="center" vertical="center"/>
    </xf>
    <xf numFmtId="166" fontId="2" fillId="0" borderId="7" xfId="1" applyNumberFormat="1" applyFont="1" applyBorder="1" applyAlignment="1">
      <alignment horizontal="center" vertical="center"/>
    </xf>
    <xf numFmtId="166" fontId="2" fillId="0" borderId="2" xfId="1" applyNumberFormat="1" applyFont="1" applyBorder="1" applyAlignment="1">
      <alignment horizontal="left" vertical="center" wrapText="1"/>
    </xf>
    <xf numFmtId="166" fontId="2" fillId="0" borderId="6" xfId="1" applyNumberFormat="1" applyFont="1" applyBorder="1" applyAlignment="1">
      <alignment horizontal="left" vertical="center" wrapText="1"/>
    </xf>
    <xf numFmtId="166" fontId="2" fillId="0" borderId="7" xfId="1" applyNumberFormat="1" applyFont="1" applyBorder="1" applyAlignment="1">
      <alignment horizontal="left" vertical="center" wrapText="1"/>
    </xf>
    <xf numFmtId="166" fontId="14" fillId="0" borderId="6" xfId="1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66" fontId="14" fillId="3" borderId="2" xfId="1" applyNumberFormat="1" applyFont="1" applyFill="1" applyBorder="1" applyAlignment="1">
      <alignment horizontal="left" vertical="center"/>
    </xf>
    <xf numFmtId="166" fontId="14" fillId="3" borderId="6" xfId="1" applyNumberFormat="1" applyFont="1" applyFill="1" applyBorder="1" applyAlignment="1">
      <alignment horizontal="left" vertical="center"/>
    </xf>
    <xf numFmtId="166" fontId="14" fillId="3" borderId="7" xfId="1" applyNumberFormat="1" applyFont="1" applyFill="1" applyBorder="1" applyAlignment="1">
      <alignment horizontal="left" vertical="center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left" vertical="center" wrapText="1"/>
    </xf>
    <xf numFmtId="166" fontId="3" fillId="0" borderId="6" xfId="1" applyNumberFormat="1" applyFont="1" applyBorder="1" applyAlignment="1">
      <alignment horizontal="left" vertical="center" wrapText="1"/>
    </xf>
    <xf numFmtId="166" fontId="3" fillId="0" borderId="7" xfId="1" applyNumberFormat="1" applyFont="1" applyBorder="1" applyAlignment="1">
      <alignment horizontal="left" vertical="center" wrapText="1"/>
    </xf>
    <xf numFmtId="166" fontId="5" fillId="0" borderId="2" xfId="1" applyNumberFormat="1" applyFont="1" applyBorder="1" applyAlignment="1">
      <alignment horizontal="left" vertical="center" wrapText="1"/>
    </xf>
    <xf numFmtId="166" fontId="5" fillId="0" borderId="6" xfId="1" applyNumberFormat="1" applyFont="1" applyBorder="1" applyAlignment="1">
      <alignment horizontal="left" vertical="center" wrapText="1"/>
    </xf>
    <xf numFmtId="166" fontId="5" fillId="0" borderId="7" xfId="1" applyNumberFormat="1" applyFont="1" applyBorder="1" applyAlignment="1">
      <alignment horizontal="left" vertical="center" wrapText="1"/>
    </xf>
    <xf numFmtId="166" fontId="13" fillId="0" borderId="2" xfId="1" applyNumberFormat="1" applyFont="1" applyBorder="1" applyAlignment="1">
      <alignment horizontal="left" vertical="center" wrapText="1"/>
    </xf>
    <xf numFmtId="166" fontId="13" fillId="0" borderId="6" xfId="1" applyNumberFormat="1" applyFont="1" applyBorder="1" applyAlignment="1">
      <alignment horizontal="left" vertical="center" wrapText="1"/>
    </xf>
    <xf numFmtId="166" fontId="13" fillId="0" borderId="7" xfId="1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3" fillId="0" borderId="2" xfId="4" applyNumberFormat="1" applyFont="1" applyBorder="1" applyAlignment="1">
      <alignment horizontal="left" vertical="center" wrapText="1"/>
    </xf>
    <xf numFmtId="3" fontId="3" fillId="0" borderId="6" xfId="4" applyNumberFormat="1" applyFont="1" applyBorder="1" applyAlignment="1">
      <alignment horizontal="left" vertical="center" wrapText="1"/>
    </xf>
    <xf numFmtId="3" fontId="3" fillId="0" borderId="7" xfId="4" applyNumberFormat="1" applyFont="1" applyBorder="1" applyAlignment="1">
      <alignment horizontal="left" vertical="center" wrapText="1"/>
    </xf>
    <xf numFmtId="166" fontId="2" fillId="0" borderId="2" xfId="1" applyNumberFormat="1" applyFont="1" applyBorder="1" applyAlignment="1">
      <alignment horizontal="left" vertical="center"/>
    </xf>
    <xf numFmtId="166" fontId="2" fillId="0" borderId="6" xfId="1" applyNumberFormat="1" applyFont="1" applyBorder="1" applyAlignment="1">
      <alignment horizontal="left" vertical="center"/>
    </xf>
    <xf numFmtId="166" fontId="2" fillId="0" borderId="7" xfId="1" applyNumberFormat="1" applyFont="1" applyBorder="1" applyAlignment="1">
      <alignment horizontal="left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/>
    </xf>
    <xf numFmtId="0" fontId="2" fillId="8" borderId="7" xfId="0" applyFont="1" applyFill="1" applyBorder="1" applyAlignment="1">
      <alignment horizontal="left" vertical="center"/>
    </xf>
    <xf numFmtId="166" fontId="3" fillId="0" borderId="2" xfId="1" applyNumberFormat="1" applyFont="1" applyBorder="1" applyAlignment="1">
      <alignment horizontal="center" vertical="center" wrapText="1"/>
    </xf>
    <xf numFmtId="166" fontId="3" fillId="0" borderId="6" xfId="1" applyNumberFormat="1" applyFont="1" applyBorder="1" applyAlignment="1">
      <alignment horizontal="center" vertical="center" wrapText="1"/>
    </xf>
    <xf numFmtId="166" fontId="3" fillId="0" borderId="7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left" vertical="center" wrapText="1"/>
    </xf>
    <xf numFmtId="3" fontId="4" fillId="0" borderId="6" xfId="1" applyNumberFormat="1" applyFont="1" applyBorder="1" applyAlignment="1">
      <alignment horizontal="left" vertical="center" wrapText="1"/>
    </xf>
    <xf numFmtId="3" fontId="4" fillId="0" borderId="7" xfId="1" applyNumberFormat="1" applyFont="1" applyBorder="1" applyAlignment="1">
      <alignment horizontal="left" vertical="center" wrapText="1"/>
    </xf>
    <xf numFmtId="166" fontId="4" fillId="0" borderId="2" xfId="1" applyNumberFormat="1" applyFont="1" applyBorder="1" applyAlignment="1">
      <alignment horizontal="left" vertical="center" wrapText="1"/>
    </xf>
    <xf numFmtId="166" fontId="4" fillId="0" borderId="6" xfId="1" applyNumberFormat="1" applyFont="1" applyBorder="1" applyAlignment="1">
      <alignment horizontal="left" vertical="center" wrapText="1"/>
    </xf>
    <xf numFmtId="166" fontId="4" fillId="0" borderId="7" xfId="1" applyNumberFormat="1" applyFont="1" applyBorder="1" applyAlignment="1">
      <alignment horizontal="left" vertical="center" wrapText="1"/>
    </xf>
    <xf numFmtId="3" fontId="4" fillId="0" borderId="2" xfId="1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3" fontId="4" fillId="0" borderId="7" xfId="1" applyNumberFormat="1" applyFont="1" applyBorder="1" applyAlignment="1">
      <alignment horizontal="right" vertical="center"/>
    </xf>
    <xf numFmtId="166" fontId="4" fillId="0" borderId="2" xfId="1" applyNumberFormat="1" applyFont="1" applyBorder="1" applyAlignment="1">
      <alignment horizontal="center" vertical="center"/>
    </xf>
    <xf numFmtId="166" fontId="4" fillId="0" borderId="6" xfId="1" applyNumberFormat="1" applyFont="1" applyBorder="1" applyAlignment="1">
      <alignment horizontal="center" vertical="center"/>
    </xf>
    <xf numFmtId="166" fontId="4" fillId="0" borderId="7" xfId="1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3" fontId="4" fillId="4" borderId="2" xfId="1" applyNumberFormat="1" applyFont="1" applyFill="1" applyBorder="1" applyAlignment="1">
      <alignment horizontal="right" vertical="center"/>
    </xf>
    <xf numFmtId="3" fontId="4" fillId="4" borderId="6" xfId="1" applyNumberFormat="1" applyFont="1" applyFill="1" applyBorder="1" applyAlignment="1">
      <alignment horizontal="right" vertical="center"/>
    </xf>
    <xf numFmtId="3" fontId="4" fillId="4" borderId="7" xfId="1" applyNumberFormat="1" applyFont="1" applyFill="1" applyBorder="1" applyAlignment="1">
      <alignment horizontal="right" vertical="center"/>
    </xf>
    <xf numFmtId="166" fontId="2" fillId="0" borderId="1" xfId="1" applyNumberFormat="1" applyFont="1" applyBorder="1" applyAlignment="1">
      <alignment horizontal="center" vertical="center"/>
    </xf>
    <xf numFmtId="166" fontId="14" fillId="0" borderId="2" xfId="1" applyNumberFormat="1" applyFont="1" applyBorder="1" applyAlignment="1">
      <alignment horizontal="left" vertical="center" wrapText="1"/>
    </xf>
    <xf numFmtId="166" fontId="14" fillId="0" borderId="6" xfId="1" applyNumberFormat="1" applyFont="1" applyBorder="1" applyAlignment="1">
      <alignment horizontal="left" vertical="center" wrapText="1"/>
    </xf>
    <xf numFmtId="166" fontId="14" fillId="0" borderId="7" xfId="1" applyNumberFormat="1" applyFont="1" applyBorder="1" applyAlignment="1">
      <alignment horizontal="left" vertical="center" wrapText="1"/>
    </xf>
    <xf numFmtId="166" fontId="17" fillId="0" borderId="2" xfId="1" applyNumberFormat="1" applyFont="1" applyBorder="1" applyAlignment="1">
      <alignment horizontal="left" vertical="center" wrapText="1"/>
    </xf>
    <xf numFmtId="166" fontId="17" fillId="0" borderId="6" xfId="1" applyNumberFormat="1" applyFont="1" applyBorder="1" applyAlignment="1">
      <alignment horizontal="left" vertical="center" wrapText="1"/>
    </xf>
    <xf numFmtId="166" fontId="17" fillId="0" borderId="7" xfId="1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2" fillId="0" borderId="6" xfId="1" applyNumberFormat="1" applyFont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horizontal="right" vertical="center"/>
    </xf>
    <xf numFmtId="3" fontId="4" fillId="0" borderId="7" xfId="1" applyNumberFormat="1" applyFont="1" applyFill="1" applyBorder="1" applyAlignment="1">
      <alignment horizontal="right" vertical="center"/>
    </xf>
    <xf numFmtId="166" fontId="17" fillId="0" borderId="2" xfId="1" applyNumberFormat="1" applyFont="1" applyFill="1" applyBorder="1" applyAlignment="1">
      <alignment horizontal="left" vertical="center" wrapText="1"/>
    </xf>
    <xf numFmtId="166" fontId="17" fillId="0" borderId="6" xfId="1" applyNumberFormat="1" applyFont="1" applyFill="1" applyBorder="1" applyAlignment="1">
      <alignment horizontal="left" vertical="center" wrapText="1"/>
    </xf>
    <xf numFmtId="166" fontId="17" fillId="0" borderId="7" xfId="1" applyNumberFormat="1" applyFont="1" applyFill="1" applyBorder="1" applyAlignment="1">
      <alignment horizontal="left" vertical="center" wrapText="1"/>
    </xf>
    <xf numFmtId="166" fontId="14" fillId="0" borderId="2" xfId="1" applyNumberFormat="1" applyFont="1" applyBorder="1" applyAlignment="1">
      <alignment vertical="center" wrapText="1"/>
    </xf>
    <xf numFmtId="166" fontId="14" fillId="0" borderId="6" xfId="1" applyNumberFormat="1" applyFont="1" applyBorder="1" applyAlignment="1">
      <alignment vertical="center" wrapText="1"/>
    </xf>
    <xf numFmtId="166" fontId="14" fillId="0" borderId="7" xfId="1" applyNumberFormat="1" applyFont="1" applyBorder="1" applyAlignment="1">
      <alignment vertical="center" wrapText="1"/>
    </xf>
    <xf numFmtId="166" fontId="3" fillId="0" borderId="2" xfId="1" applyNumberFormat="1" applyFont="1" applyFill="1" applyBorder="1" applyAlignment="1">
      <alignment horizontal="center" vertical="center" wrapText="1"/>
    </xf>
    <xf numFmtId="166" fontId="3" fillId="0" borderId="6" xfId="1" applyNumberFormat="1" applyFont="1" applyFill="1" applyBorder="1" applyAlignment="1">
      <alignment horizontal="center" vertical="center" wrapText="1"/>
    </xf>
    <xf numFmtId="166" fontId="3" fillId="0" borderId="7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14" fillId="6" borderId="7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/>
    </xf>
    <xf numFmtId="3" fontId="12" fillId="0" borderId="1" xfId="3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4" fontId="12" fillId="0" borderId="1" xfId="3" applyNumberFormat="1" applyFont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3" fontId="12" fillId="0" borderId="2" xfId="1" applyNumberFormat="1" applyFont="1" applyFill="1" applyBorder="1" applyAlignment="1">
      <alignment horizontal="center" vertical="center" wrapText="1"/>
    </xf>
    <xf numFmtId="3" fontId="12" fillId="0" borderId="7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12" fillId="2" borderId="1" xfId="3" applyNumberFormat="1" applyFont="1" applyFill="1" applyBorder="1" applyAlignment="1">
      <alignment horizontal="center" vertical="center" wrapText="1"/>
    </xf>
    <xf numFmtId="3" fontId="12" fillId="2" borderId="2" xfId="3" applyNumberFormat="1" applyFont="1" applyFill="1" applyBorder="1" applyAlignment="1">
      <alignment horizontal="center" vertical="center" wrapText="1"/>
    </xf>
    <xf numFmtId="3" fontId="12" fillId="2" borderId="6" xfId="3" applyNumberFormat="1" applyFont="1" applyFill="1" applyBorder="1" applyAlignment="1">
      <alignment horizontal="center" vertical="center" wrapText="1"/>
    </xf>
    <xf numFmtId="3" fontId="12" fillId="2" borderId="7" xfId="3" applyNumberFormat="1" applyFont="1" applyFill="1" applyBorder="1" applyAlignment="1">
      <alignment horizontal="center" vertical="center" wrapText="1"/>
    </xf>
    <xf numFmtId="3" fontId="12" fillId="0" borderId="3" xfId="3" applyNumberFormat="1" applyFont="1" applyBorder="1" applyAlignment="1">
      <alignment horizontal="center" vertical="center" wrapText="1"/>
    </xf>
    <xf numFmtId="3" fontId="12" fillId="0" borderId="4" xfId="3" applyNumberFormat="1" applyFont="1" applyBorder="1" applyAlignment="1">
      <alignment horizontal="center" vertical="center" wrapText="1"/>
    </xf>
    <xf numFmtId="3" fontId="12" fillId="0" borderId="5" xfId="3" applyNumberFormat="1" applyFont="1" applyBorder="1" applyAlignment="1">
      <alignment horizontal="center" vertical="center" wrapText="1"/>
    </xf>
    <xf numFmtId="3" fontId="12" fillId="3" borderId="1" xfId="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7" xfId="3" applyFont="1" applyFill="1" applyBorder="1" applyAlignment="1">
      <alignment horizontal="center" vertical="center" wrapText="1"/>
    </xf>
    <xf numFmtId="165" fontId="12" fillId="0" borderId="2" xfId="3" applyNumberFormat="1" applyFont="1" applyBorder="1" applyAlignment="1">
      <alignment horizontal="center" vertical="center" wrapText="1"/>
    </xf>
    <xf numFmtId="165" fontId="12" fillId="0" borderId="6" xfId="3" applyNumberFormat="1" applyFont="1" applyBorder="1" applyAlignment="1">
      <alignment horizontal="center" vertical="center" wrapText="1"/>
    </xf>
    <xf numFmtId="165" fontId="12" fillId="0" borderId="7" xfId="3" applyNumberFormat="1" applyFont="1" applyBorder="1" applyAlignment="1">
      <alignment horizontal="center" vertical="center" wrapText="1"/>
    </xf>
  </cellXfs>
  <cellStyles count="6">
    <cellStyle name="Normal_формы ПР утвержденные" xfId="3" xr:uid="{75587032-9FA9-4750-A0BD-3FCDD82B6DF2}"/>
    <cellStyle name="КАНДАГАЧ тел3-33-96" xfId="5" xr:uid="{CCBE2A9D-AADE-4FF2-80DA-5DE25377A368}"/>
    <cellStyle name="Обычный" xfId="0" builtinId="0"/>
    <cellStyle name="Обычный 2" xfId="4" xr:uid="{7B8D3D5A-9162-4366-B251-A00A085878B4}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ukhamadiyarovIF\Local%20Settings\Temporary%20Internet%20Files\OLK70A\reporting%20package%2031.12.04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6.111\&#1080;&#1087;$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-PL/NBPL/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6.111\&#1080;&#1087;$\&#1050;&#1091;&#1079;&#1077;&#1085;&#1103;&#1090;&#1082;&#1080;&#1085;&#1072;%20&#1053;\&#1052;&#1086;&#1080;%20&#1076;&#1086;&#1082;&#1091;&#1084;&#1077;&#1085;&#1090;&#1099;\&#1089;&#1084;&#1077;&#1090;&#1099;,%20&#1090;&#1072;&#1088;&#1080;&#1092;&#1099;%20,%20&#1082;&#1072;&#1083;&#1100;&#1082;&#1091;&#1083;&#1103;&#1094;&#1080;&#1080;\&#1087;&#1088;&#1086;&#1077;&#1082;&#1090;&#1099;%20&#1090;&#1072;&#1088;&#1080;&#1092;&#1086;&#1074;%20&#1085;&#1072;%202005%20&#1075;&#1086;&#1076;%20&#1076;&#1083;&#1103;%20&#1089;&#1091;&#1073;&#1095;&#1080;&#1082;&#1086;&#1074;\&#1087;&#1088;&#1086;&#1077;&#1082;&#1090;&#1099;\&#1055;&#1088;&#1086;&#1077;&#1082;&#1090;%20&#1090;&#1072;&#1088;&#1080;&#1092;&#1072;%20&#1085;&#1072;%20&#1074;&#1086;&#1076;&#1091;%20&#1053;&#1055;&#1057;%20&#1048;&#1085;&#1076;&#1077;&#1088;%20&#1085;&#1072;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64.160\invest\B-PL\NBPL\_F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6.111\&#1080;&#1087;$\DOCUME~1\1\LOCALS~1\Temp\notes61B3DA\1.%20M_01_Reporting%20Pack%20v%201.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6.111\&#1080;&#1087;$\Documents%20and%20Settings\user\Local%20Settings\Temporary%20Internet%20Files\Content.IE5\OTK6MW8D\4.%20Y_01_Reporting%20Pack%20v.1.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PUBLIC\Documents%20and%20Settings\marcel\Desktop\LE%2005%20attach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87;&#1086;&#1083;&#1085;&#1099;&#1081;%20&#1086;&#1090;&#1095;&#1077;&#1090;%205%20&#1084;&#1077;&#1089;&#1103;&#1094;&#1077;&#1074;%202017%20&#1075;&#1086;&#1076;%20(&#1056;&#1077;&#1078;&#1080;&#1084;%20&#1089;&#1086;&#1074;&#1084;&#1077;&#1089;&#1090;&#1080;&#1084;&#1086;&#1089;&#1090;&#1080;)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cb008\&#1052;&#1054;&#1055;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Salaries%20-%20CHUY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Documents%20and%20Settings\marcel\Desktop\LE%2005%20attach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55%20Depreciation%20Analytical%20Testing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arcel\Personal\DOCUME~1\MARCEL~1.REE\LOCALS~1\Temp\Fsl\Loan\Loan%20Movements%20PROCESSED%20-%20NOT%20COMPLET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Provisions,%20HBII\old\FS%2001%20March\Current\REE691\Audit%201999\August%201999\RKTF\Special%20Report%20Eng\HH-AUDIT\OLY017\DIAGNOST\ENGLISCH\OLYMPUS\ANLAGE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Financial%20Reporting\Lyazzat\Monthend\2002\March\AR\AR%20to%20be%20replac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kuanbay\My%20Documents\PKI%20M&amp;T\UK\Master%20Consolidated%20HHL%20January%2020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Gord&amp;Datta\EXCEL\Monthend\2002\August\HKM%20SA%20August\Crude%20purchas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CAS%20-%20&#1057;&#1087;&#1080;&#1089;&#1086;&#1082;%20&#1080;&#1085;&#1092;&#1086;&#1088;&#1084;&#1072;&#1094;&#1080;&#1080;%20&#1076;&#1083;&#1103;%20&#1072;&#1091;&#1076;&#1080;&#1090;&#1072;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arcel\Stansun\Files%20for%20Evegeniy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Gord&amp;Datta\EXCEL\Monthend\2001\May\Analysis\G&amp;A%20analysis_Marc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160%20KTZH%20Client%20participation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-PL\NBPL\_F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roduction%20Cost%20-%20Final%20Analytical%20Review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_WORK\Finca\Kyrg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4%20Administrative%20expense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2%20Test%20of%20details%20CO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udit\Audit%20Files\KazTelecom%20US%20GAAP%202002\FINAL%20AUDIT%2031-12-2002\CAS%20FOR%20FINAL\BANK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.6%20Inventory%20Custody%20services%20-%20El%20Munai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6.111\&#1080;&#1087;$\Documents%20and%20Settings\User\&#1056;&#1072;&#1073;&#1086;&#1095;&#1080;&#1081;%20&#1089;&#1090;&#1086;&#1083;\2006%20&#1075;&#1086;&#1076;\2006&#1075;\2216.2%20&#1082;&#1086;&#1085;&#1089;%20&#1060;&#1054;%20JSC%20KTZh%20-%20for%20client%20RUS%20-%20FIN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Long-Term%20Debt%20testing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Review%20-%20Disaggregated%20Pop.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NOS\Monthlyreports\Dec'01\ShNOS%20December%20Financial%20Package'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Receivable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PP&amp;E%20by%20branches%20-%20%20Final%20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FA%20Movement%20Schedule%20-%20BALYKCHY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92;&#1086;&#1088;&#1084;&#1099;%20&#1075;&#1086;&#1076;%20&#1086;&#1090;&#1095;%202002\WINDOWS\EXCEL\MY_PROG\DWR_PRG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6.111\&#1080;&#1087;$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6-2010&#1075;&#1075;\&#1073;&#1080;&#1079;&#1085;&#1077;&#1089;-&#1087;&#1083;&#1072;&#1085;\&#1057;&#1074;&#1086;&#1076;&#1085;&#1099;&#1081;%20&#1073;&#1080;&#1079;&#1085;&#1077;&#1089;-&#1087;&#1083;&#1072;&#1085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72;&#1082;&#1089;&#1072;&#1090;\&#1056;&#1072;&#1073;&#1086;&#1090;&#1072;\!&#1055;&#1088;&#1086;&#1077;&#1082;&#1090;&#1099;\&#1060;&#1080;&#1085;&#1072;&#1085;&#1089;&#1086;&#1074;&#1099;&#1077;%20&#1080;&#1085;&#1089;&#1090;&#1088;&#1091;&#1084;&#1077;&#1085;&#1090;&#1099;\&#1060;&#1080;&#1085;&#1072;&#1085;&#1089;&#1086;&#1074;&#1099;&#1077;%20&#1080;&#1085;&#1089;&#1090;&#1088;&#1091;&#1084;&#1077;&#1085;&#1090;&#1099;\&#1054;&#1090;&#1082;&#1088;&#1099;&#1090;&#1072;&#1103;%20&#1042;&#1055;%20&#1085;&#1072;%2001.01.09\&#1044;&#1072;&#1085;&#1085;&#1099;&#1077;\&#1060;&#1086;&#1088;&#1084;&#1072;&#1047;&#1072;&#1081;&#1084;&#1099;&#1043;&#1088;&#1091;&#1087;&#1087;&#1072;&#1050;&#1058;&#1046;-311208(15.01.2009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A%20roll-forward%20&amp;%20testing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-Abilov\Local%20Settings\Temporary%20Internet%20Files\OLK12E\&#1060;&#1086;&#1088;&#1084;&#1072;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rova_a/Desktop/&#1054;&#1058;&#1063;&#1045;&#1058;&#1067;%20&#1087;&#1086;%20&#1080;&#1085;&#1074;&#1077;&#1089;&#1090;&#1091;/&#1054;&#1090;&#1095;&#1077;&#1090;&#1099;%20&#1087;&#1086;%20&#1080;&#1085;&#1074;&#1077;&#1089;&#1090;&#1091;%202020/&#1045;&#1078;&#1077;&#1084;&#1077;&#1089;&#1103;&#1095;&#1085;&#1099;&#1081;%20&#1086;&#1090;&#1095;&#1077;&#1090;/&#1045;&#1078;&#1077;&#1084;&#1077;&#1089;&#1103;&#1095;&#1085;&#1099;&#1081;%20&#1086;&#1090;&#1095;&#1077;&#1090;%20&#1087;&#1086;%20&#1080;&#1085;&#1074;&#1077;&#1089;&#1090;&#1091;_2020%20&#1103;&#1085;&#1074;&#1072;&#1088;&#1100;-&#1080;&#1102;&#1085;&#1100;%20(version%201)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rova_a/Desktop/&#1054;&#1058;&#1063;&#1045;&#1058;&#1067;%20&#1087;&#1086;%20&#1080;&#1085;&#1074;&#1077;&#1089;&#1090;&#1091;/&#1054;&#1090;&#1095;&#1077;&#1090;&#1099;%20&#1087;&#1086;%20&#1080;&#1085;&#1074;&#1077;&#1089;&#1090;&#1091;%202020/&#1042;%20&#1057;&#1090;&#1072;&#1090;.&#1091;&#1087;&#1088;&#1072;&#1074;&#1083;&#1077;&#1085;&#1080;&#1077;/&#1074;%20&#1089;&#1090;&#1072;&#1090;%20&#1091;&#1087;&#1088;&#1072;&#1074;&#1083;&#1077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Check"/>
      <sheetName val="Group"/>
      <sheetName val="BS-IS"/>
      <sheetName val="CFS"/>
      <sheetName val="Eq"/>
      <sheetName val="Expenses"/>
      <sheetName val="Income tax"/>
      <sheetName val="FA"/>
      <sheetName val="LTI"/>
      <sheetName val="NCA"/>
      <sheetName val="Inventory"/>
      <sheetName val="Taxes receivable"/>
      <sheetName val="AR"/>
      <sheetName val="Other RP"/>
      <sheetName val="Other RP loans"/>
      <sheetName val="STI"/>
      <sheetName val="Loans"/>
      <sheetName val="Unutilised loans"/>
      <sheetName val="SA"/>
      <sheetName val="Restr tax"/>
      <sheetName val="FLL"/>
      <sheetName val="Other LTL"/>
      <sheetName val="AP"/>
      <sheetName val="Taxes payable"/>
      <sheetName val="Capex"/>
      <sheetName val="Guaranties"/>
      <sheetName val="Commitments"/>
      <sheetName val="Sub events"/>
      <sheetName val="Форма2"/>
      <sheetName val="ЛСЦ начисленное на 31.12.08"/>
      <sheetName val="ЛЛизинг начис. на 31.12.08"/>
      <sheetName val="Additions_Disposals"/>
      <sheetName val="Ôîðìà2"/>
      <sheetName val="Hidden"/>
      <sheetName val="1"/>
      <sheetName val="FA Movement Kyrg"/>
      <sheetName val="2.2 ОтклОТМ"/>
      <sheetName val="1.3.2 ОТМ"/>
      <sheetName val="Предпр"/>
      <sheetName val="ЦентрЗатр"/>
      <sheetName val="ЕдИзм"/>
      <sheetName val="Production_Ref Q-1-3"/>
      <sheetName val="GAAP TB 31.12.01  detail p&amp;l"/>
      <sheetName val="Info"/>
      <sheetName val="GAAP TB 30.09.01  detail p&amp;l"/>
      <sheetName val="FES"/>
      <sheetName val="Список документов"/>
      <sheetName val="PP&amp;E mvt for 2003"/>
      <sheetName val="Analytics"/>
      <sheetName val="Собственный капитал"/>
      <sheetName val="Anlagevermögen"/>
      <sheetName val="Livestock"/>
      <sheetName val="FA Movement "/>
      <sheetName val="depreciation testing"/>
      <sheetName val="Movements"/>
      <sheetName val="2017-2021 "/>
      <sheetName val="2017помес"/>
      <sheetName val="Income_tax"/>
      <sheetName val="Taxes_receivable"/>
      <sheetName val="Other_RP"/>
      <sheetName val="Other_RP_loans"/>
      <sheetName val="Unutilised_loans"/>
      <sheetName val="Restr_tax"/>
      <sheetName val="Other_LTL"/>
      <sheetName val="Taxes_payable"/>
      <sheetName val="Sub_events"/>
      <sheetName val="ЛСЦ_начисленное_на_31_12_08"/>
      <sheetName val="ЛЛизинг_начис__на_31_12_08"/>
      <sheetName val="2_2_ОтклОТМ"/>
      <sheetName val="1_3_2_ОТМ"/>
      <sheetName val="Production_Ref_Q-1-3"/>
      <sheetName val="GAAP_TB_31_12_01__detail_p&amp;l"/>
      <sheetName val="GAAP_TB_30_09_01__detail_p&amp;l"/>
      <sheetName val="FA_Movement_Kyrg"/>
      <sheetName val="PP&amp;E_mvt_for_2003"/>
      <sheetName val="Список_документов"/>
      <sheetName val="Собственный_капитал"/>
      <sheetName val="FA_Movement_"/>
      <sheetName val="depreciation_testin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Группа"/>
      <sheetName val="КТЖ"/>
      <sheetName val="Свод АО"/>
      <sheetName val="L-1"/>
      <sheetName val="AP new"/>
      <sheetName val="анализ"/>
      <sheetName val="расш. прочих, опл. услуг"/>
      <sheetName val="ввод-вывод ОС авг2004- 2005"/>
      <sheetName val="СписокТЭП"/>
      <sheetName val="Форма2"/>
      <sheetName val="Сервисный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_кв_"/>
      <sheetName val="2_кв_"/>
      <sheetName val="3_кв_"/>
      <sheetName val="4_кв_"/>
      <sheetName val="_год"/>
      <sheetName val="УП_33_свод_"/>
      <sheetName val="пл__и_факт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1_êâ_"/>
      <sheetName val="2_êâ_"/>
      <sheetName val="3_êâ_"/>
      <sheetName val="4_êâ_"/>
      <sheetName val="_ãîä"/>
      <sheetName val="ÓÏ_33_ñâîä_"/>
      <sheetName val="ïë__è_ôàêò"/>
      <sheetName val="Свод_АО"/>
      <sheetName val="AP_new"/>
      <sheetName val="расш__прочих,_опл__услуг"/>
      <sheetName val="ввод-вывод_ОС_авг2004-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_FES"/>
      <sheetName val="map_nat"/>
      <sheetName val="map_RPG"/>
      <sheetName val="Profit &amp; Loss Total"/>
      <sheetName val="12 месяцев 2010"/>
      <sheetName val="КТЖ БДР"/>
      <sheetName val="Нефть"/>
      <sheetName val="Форма2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IPR_VOG"/>
      <sheetName val="6НК-cт."/>
      <sheetName val="Precios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Dictionaries"/>
      <sheetName val="Содержание"/>
      <sheetName val="4 000 000 тыс.тг"/>
      <sheetName val="15 000 000 тыс.тг"/>
      <sheetName val="ЦХЛ 2004"/>
      <sheetName val="2210900-Aug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Доходы всего"/>
      <sheetName val="Доходы обороты"/>
      <sheetName val="ЛСЦ начисленное на 31.12.08"/>
      <sheetName val="ЛЛизинг начис. на 31.12.08"/>
      <sheetName val="ремонтТ9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Production_Ref Q-1-3"/>
      <sheetName val="Analytics"/>
      <sheetName val="касса 2015-2019 год займы 16081"/>
      <sheetName val="FA Movement Kyrg"/>
      <sheetName val="База"/>
      <sheetName val="ОТиТБ"/>
      <sheetName val="бюджет 2015 займы 200815"/>
      <sheetName val="ОРУ ДО"/>
      <sheetName val="Добыча нефти4"/>
      <sheetName val="поставка сравн13"/>
      <sheetName val="из сем"/>
      <sheetName val="Форма3.6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ФОТ"/>
      <sheetName val="Титул1"/>
      <sheetName val="свод ао"/>
      <sheetName val="депозиты"/>
      <sheetName val="Статьи"/>
      <sheetName val="6НК"/>
      <sheetName val="Settings"/>
      <sheetName val="Transport overview"/>
      <sheetName val="Баланс"/>
      <sheetName val="Control"/>
      <sheetName val="B-4"/>
      <sheetName val="MAIN"/>
      <sheetName val="факт 2005 г."/>
      <sheetName val="CMA TOD"/>
      <sheetName val="2.2 ОтклОТМ"/>
      <sheetName val="1.3.2 ОТМ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Транспорт"/>
      <sheetName val="Расчет эксп бурения"/>
      <sheetName val="свод КВЛ (на печать)"/>
      <sheetName val="Данные"/>
      <sheetName val="Hidden"/>
      <sheetName val="ДР 2011"/>
      <sheetName val="себ с ув."/>
      <sheetName val="KR(СВОД)"/>
      <sheetName val="д1"/>
      <sheetName val="СИС"/>
      <sheetName val="Б.мчас (П)"/>
      <sheetName val="1 вариант  2009 "/>
      <sheetName val="сброс"/>
      <sheetName val="Comp"/>
      <sheetName val="К1.2"/>
      <sheetName val=""/>
      <sheetName val="Forms"/>
      <sheetName val="КВЛ новые проекты"/>
      <sheetName val="3"/>
      <sheetName val="Пр2"/>
      <sheetName val="ЭЭ"/>
      <sheetName val="Общий объем потребления "/>
      <sheetName val="объем оказ. услуг"/>
      <sheetName val="2_8 ТР_ТО_и_ПН"/>
      <sheetName val="Объемы нетто 2013 "/>
      <sheetName val="расчёт доходов"/>
      <sheetName val="#ССЫЛКА"/>
      <sheetName val="Труд"/>
      <sheetName val="ОРУ сторон"/>
      <sheetName val="ОРУ КМ"/>
      <sheetName val="КР материалы"/>
      <sheetName val="КЛ2016"/>
      <sheetName val="ТЖЖ-Аягоз2016"/>
      <sheetName val="КЛ + ТЖЖ2016"/>
      <sheetName val="ФА 9мес факт"/>
      <sheetName val="PP&amp;E mvt for 2003"/>
      <sheetName val="4.1.1"/>
      <sheetName val="7.2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_кв_"/>
      <sheetName val="2_кв_"/>
      <sheetName val="3_кв_"/>
      <sheetName val="4_кв_"/>
      <sheetName val="_год"/>
      <sheetName val="УП_33_свод_"/>
      <sheetName val="пл__и_факт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1_êâ_"/>
      <sheetName val="2_êâ_"/>
      <sheetName val="3_êâ_"/>
      <sheetName val="4_êâ_"/>
      <sheetName val="_ãîä"/>
      <sheetName val="ÓÏ_33_ñâîä_"/>
      <sheetName val="ïë__è_ôàêò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УФ1_"/>
      <sheetName val="УЗ1_"/>
      <sheetName val="Profit_&amp;_Loss_Total"/>
      <sheetName val="12_месяцев_2010"/>
      <sheetName val="КТЖ_БДР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ÓÔ1_"/>
      <sheetName val="ÓÇ1_"/>
      <sheetName val="6НК-cт_"/>
      <sheetName val="ЗАО_н_ит"/>
      <sheetName val="Сдача_"/>
      <sheetName val="Ural_med"/>
      <sheetName val="Лист1_(2)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Прил_1"/>
      <sheetName val="Прил__1_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4_000_000_тыс_тг"/>
      <sheetName val="15_000_000_тыс_тг"/>
      <sheetName val="ЦХЛ_2004"/>
      <sheetName val="Фин_обязат_"/>
      <sheetName val="Financial_ratios_А3"/>
      <sheetName val="K_300_RFD_KMG_EP"/>
      <sheetName val="ЦТУ_(касса)"/>
      <sheetName val="ЕБРР_200_млн_$_24_05_12"/>
      <sheetName val="5NK_"/>
      <sheetName val="Доходы_всего"/>
      <sheetName val="Доходы_обороты"/>
      <sheetName val="ЛСЦ_начисленное_на_31_12_08"/>
      <sheetName val="ЛЛизинг_начис__на_31_12_08"/>
      <sheetName val="Доступ_к_МЖС"/>
      <sheetName val="мать_факт_(изм_НДС)"/>
      <sheetName val="прочие_поступления"/>
      <sheetName val="кредитный_бюджет_2014"/>
      <sheetName val="прочие_выб_по_дзо"/>
      <sheetName val="инвест_разбивка"/>
      <sheetName val="оплата_БЗ_и_ОСО_для_БДДС"/>
      <sheetName val="Соц_сфера"/>
      <sheetName val="расходы_КТЖ"/>
      <sheetName val="прочие_выбытия_"/>
      <sheetName val="депозиты_2014"/>
      <sheetName val="УК_и_ФП"/>
      <sheetName val="бюджет_2013_освоение_)"/>
      <sheetName val="Production_Ref_Q-1-3"/>
      <sheetName val="касса_2015-2019_год_займы_16081"/>
      <sheetName val="FA_Movement_Kyrg"/>
      <sheetName val="бюджет_2015_займы_200815"/>
      <sheetName val="ОРУ_ДО"/>
      <sheetName val="Добыча_нефти4"/>
      <sheetName val="поставка_сравн13"/>
      <sheetName val="из_сем"/>
      <sheetName val="Форма3_6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свод_ао"/>
      <sheetName val="Transport_overview"/>
      <sheetName val="факт_2005_г_"/>
      <sheetName val="2_2_ОтклОТМ"/>
      <sheetName val="1_3_2_ОТМ"/>
      <sheetName val="ГК_лохл"/>
      <sheetName val="А_Девел"/>
      <sheetName val="А_Апш"/>
      <sheetName val="А_Кумк"/>
      <sheetName val="Экспл_КОНС"/>
      <sheetName val="А_В-П"/>
      <sheetName val="А_В-П_КОНС"/>
      <sheetName val="ЛОХЛ_СВОД"/>
      <sheetName val="А_ЛОХЛ_СВОД"/>
      <sheetName val="А_БВО"/>
      <sheetName val="Расчет_эксп_бурения"/>
      <sheetName val="свод_КВЛ_(на_печать)"/>
      <sheetName val="цены цехов"/>
      <sheetName val="ОС и НМА (2)"/>
      <sheetName val="Авто"/>
      <sheetName val="меб"/>
      <sheetName val="меб_ПП"/>
      <sheetName val="меб_ОАР"/>
      <sheetName val="IT"/>
      <sheetName val="IT_ПП"/>
      <sheetName val="IT_ОАР"/>
      <sheetName val="НМА"/>
      <sheetName val="НМА_ПП"/>
      <sheetName val="НМА_ОАР"/>
      <sheetName val="Свод ОС и НМА"/>
      <sheetName val=" Свод ПП ОС и НМА"/>
      <sheetName val="Свод АУП ОС и НМА"/>
      <sheetName val="Ам_ПП_авто"/>
      <sheetName val="Ам_ПП_меб"/>
      <sheetName val="Ам_ПП_БТ"/>
      <sheetName val="Ам_ПП_ИТ"/>
      <sheetName val="Ам_ПП_НМА"/>
      <sheetName val="Ам_АУП_меб"/>
      <sheetName val="Ам_АУП_БТ"/>
      <sheetName val="Ам_АУП_ИТ"/>
      <sheetName val="Ам_АУП_НМА"/>
      <sheetName val="Свод аморт_ПП"/>
      <sheetName val="Свод аморт_АУП"/>
      <sheetName val="ANX16-source_COGS (12)"/>
      <sheetName val="OCC (12)"/>
      <sheetName val="OCIS (12)"/>
      <sheetName val="51"/>
      <sheetName val="57"/>
      <sheetName val="Водопад 3 для ЧП"/>
      <sheetName val="Input TD"/>
      <sheetName val="новый ЕКР"/>
      <sheetName val="КВЛ_новые_проекты"/>
      <sheetName val="2_8_ТР_ТО_и_ПН"/>
      <sheetName val="К1_2"/>
      <sheetName val="Общий_объем_потребления_"/>
      <sheetName val="объем_оказ__услуг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мета"/>
      <sheetName val="расчет"/>
      <sheetName val="ФОТ и соц.налог "/>
      <sheetName val="амортизация"/>
      <sheetName val="ээ"/>
      <sheetName val="свод по материал"/>
      <sheetName val="р№1"/>
      <sheetName val="№2"/>
      <sheetName val="Услуги банков"/>
      <sheetName val="налог"/>
      <sheetName val="ЦХЛ 2004"/>
      <sheetName val="FES"/>
      <sheetName val="СВОДНАЯ ГРУППА"/>
      <sheetName val="ФОТ_и_соц_налог_"/>
      <sheetName val="свод_по_материал"/>
      <sheetName val="Услуги_банков"/>
      <sheetName val="ЦХЛ_2004"/>
      <sheetName val="СВОДНАЯ_ГРУП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ЦХЛ 2004"/>
      <sheetName val="_FES"/>
      <sheetName val="2210900-Aug"/>
      <sheetName val="прочие поступления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_кв_"/>
      <sheetName val="2_кв_"/>
      <sheetName val="3_кв_"/>
      <sheetName val="4_кв_"/>
      <sheetName val="_год"/>
      <sheetName val="УП_33_свод_"/>
      <sheetName val="пл__и_факт"/>
      <sheetName val="ЦХЛ_2004"/>
      <sheetName val="прочие_поступлен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"/>
      <sheetName val="Содержание"/>
      <sheetName val="KMG"/>
      <sheetName val="KTZ"/>
      <sheetName val="AA"/>
      <sheetName val="KEGOC"/>
      <sheetName val="KTEL"/>
      <sheetName val="KPOST"/>
      <sheetName val="KENG"/>
      <sheetName val="1ГО"/>
      <sheetName val="2ГО"/>
      <sheetName val="Справка"/>
      <sheetName val="Dictionaries"/>
      <sheetName val="FES"/>
      <sheetName val="ЦХЛ 2004"/>
      <sheetName val="Доходы"/>
      <sheetName val="ОРУ ктж "/>
      <sheetName val="ОРУ ДО"/>
      <sheetName val="Loans out"/>
      <sheetName val="九九年各月"/>
      <sheetName val="Treatment Summary"/>
      <sheetName val="авт"/>
      <sheetName val="аогбд"/>
      <sheetName val="аоузк"/>
      <sheetName val="ат"/>
      <sheetName val="бенз"/>
      <sheetName val="биб"/>
      <sheetName val="бфгб"/>
      <sheetName val="вб"/>
      <sheetName val="диз"/>
      <sheetName val="кпа"/>
      <sheetName val="лг"/>
      <sheetName val="перв"/>
      <sheetName val="угрх"/>
      <sheetName val="узк"/>
      <sheetName val="упнк"/>
      <sheetName val="упов"/>
      <sheetName val="купс"/>
      <sheetName val="остат"/>
      <sheetName val="газы"/>
      <sheetName val="потери"/>
      <sheetName val="товар"/>
      <sheetName val="Форма2"/>
      <sheetName val="Title_"/>
      <sheetName val="ЦХЛ_2004"/>
      <sheetName val="ОРУ_ктж_"/>
      <sheetName val="ОРУ_ДО"/>
      <sheetName val="Loans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B2" t="str">
            <v>Январь</v>
          </cell>
        </row>
        <row r="3">
          <cell r="B3" t="str">
            <v>Февраль</v>
          </cell>
        </row>
        <row r="4">
          <cell r="B4" t="str">
            <v>Март</v>
          </cell>
        </row>
        <row r="5">
          <cell r="B5" t="str">
            <v>Апрель</v>
          </cell>
        </row>
        <row r="6">
          <cell r="B6" t="str">
            <v>Май</v>
          </cell>
        </row>
        <row r="7">
          <cell r="B7" t="str">
            <v>Июнь</v>
          </cell>
        </row>
        <row r="8">
          <cell r="B8" t="str">
            <v>Июль</v>
          </cell>
        </row>
        <row r="9">
          <cell r="B9" t="str">
            <v>Август</v>
          </cell>
        </row>
        <row r="10">
          <cell r="B10" t="str">
            <v>Сентябрь</v>
          </cell>
        </row>
        <row r="11">
          <cell r="B11" t="str">
            <v>Октябрь</v>
          </cell>
        </row>
        <row r="12">
          <cell r="B12" t="str">
            <v>Ноябрь</v>
          </cell>
        </row>
        <row r="13">
          <cell r="B13" t="str">
            <v>Декабрь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2НК"/>
      <sheetName val="6НК"/>
      <sheetName val="8НК"/>
      <sheetName val="1БК"/>
      <sheetName val="2БК"/>
      <sheetName val="3БК"/>
      <sheetName val="4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3ГО"/>
      <sheetName val="HR_KPI"/>
      <sheetName val="Персонал"/>
      <sheetName val="1-СП"/>
      <sheetName val="2-О"/>
      <sheetName val="Справка"/>
      <sheetName val="KPI List"/>
      <sheetName val="Dictionaries"/>
      <sheetName val="FES"/>
      <sheetName val="ЦХЛ 2004"/>
      <sheetName val="Итог"/>
      <sheetName val="Итог для экспорта"/>
      <sheetName val="Production"/>
      <sheetName val="материалы "/>
      <sheetName val="материалы"/>
      <sheetName val="KPI_List"/>
      <sheetName val="ЦХЛ_2004"/>
    </sheetNames>
    <sheetDataSet>
      <sheetData sheetId="0" refreshError="1"/>
      <sheetData sheetId="1" refreshError="1">
        <row r="4">
          <cell r="D4" t="str">
            <v>2008 г.</v>
          </cell>
        </row>
        <row r="5">
          <cell r="D5">
            <v>2008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 (DM)"/>
      <sheetName val="Prov (USD)"/>
      <sheetName val="obs NTM "/>
      <sheetName val="Obs cig"/>
      <sheetName val="Str costs"/>
      <sheetName val="M-100"/>
      <sheetName val="Anlagevermögen"/>
      <sheetName val="#ССЫЛКА"/>
      <sheetName val="LE 05 attachment"/>
      <sheetName val="Содержание"/>
      <sheetName val="misc"/>
      <sheetName val="Threshold Table"/>
      <sheetName val="Dictionaries"/>
      <sheetName val="2210900-Aug"/>
      <sheetName val="Info"/>
      <sheetName val="CMA Calculations- Figure 5440.1"/>
      <sheetName val="CMA Calculations- R Factor"/>
      <sheetName val="HideSheet"/>
      <sheetName val="FES"/>
      <sheetName val="Loans out"/>
      <sheetName val="Graph"/>
      <sheetName val="Sales"/>
      <sheetName val="ARDetails"/>
      <sheetName val="Statistics {pbc}"/>
      <sheetName val="Prov_(DM)"/>
      <sheetName val="Prov_(USD)"/>
      <sheetName val="obs_NTM_"/>
      <sheetName val="Obs_cig"/>
      <sheetName val="Str_costs"/>
      <sheetName val="LE_05_attachment"/>
      <sheetName val="Threshold_Table"/>
      <sheetName val="CMA_Calculations-_Figure_5440_1"/>
      <sheetName val="CMA_Calculations-_R_Factor"/>
      <sheetName val="Loans_out"/>
      <sheetName val="Statistics_{pbc}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 оптимизации"/>
      <sheetName val="после оптимизации"/>
      <sheetName val="таблицы"/>
      <sheetName val="Лист2"/>
      <sheetName val="Лист в полный отчет 5 месяцев 2"/>
    </sheetNames>
    <definedNames>
      <definedName name="as"/>
      <definedName name="CompOt"/>
      <definedName name="CompRas"/>
      <definedName name="compras1"/>
      <definedName name="ddd"/>
      <definedName name="det"/>
      <definedName name="ew"/>
      <definedName name="F"/>
      <definedName name="fg"/>
      <definedName name="k"/>
      <definedName name="Njkf"/>
      <definedName name="АААААААА"/>
      <definedName name="ам"/>
      <definedName name="ап"/>
      <definedName name="апп"/>
      <definedName name="ас"/>
      <definedName name="баланс"/>
      <definedName name="БО5"/>
      <definedName name="в"/>
      <definedName name="в23ё"/>
      <definedName name="вв"/>
      <definedName name="гульсум"/>
      <definedName name="е"/>
      <definedName name="знач"/>
      <definedName name="й"/>
      <definedName name="йй"/>
      <definedName name="кассовый"/>
      <definedName name="ке"/>
      <definedName name="копия"/>
      <definedName name="КТЖ"/>
      <definedName name="л"/>
      <definedName name="Макрос1"/>
      <definedName name="мым"/>
      <definedName name="о"/>
      <definedName name="Подготовка_к_печати_и_сохранение0710"/>
      <definedName name="пол"/>
      <definedName name="ппп"/>
      <definedName name="пппп"/>
      <definedName name="пр"/>
      <definedName name="рп"/>
      <definedName name="рррр"/>
      <definedName name="с"/>
      <definedName name="Свод"/>
      <definedName name="Сводный_баланс_н_п_с"/>
      <definedName name="сс"/>
      <definedName name="сссс"/>
      <definedName name="ссы"/>
      <definedName name="у"/>
      <definedName name="ук"/>
      <definedName name="Флажок16_Щелкнуть"/>
      <definedName name="ц"/>
      <definedName name="цу"/>
      <definedName name="цц"/>
      <definedName name="шщрзгшрз"/>
      <definedName name="щ"/>
      <definedName name="ътх"/>
      <definedName name="ыв"/>
      <definedName name="ып"/>
      <definedName name="ыыы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Содержание"/>
      <sheetName val="XREF"/>
      <sheetName val="д_7_001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  <sheetName val="list"/>
      <sheetName val="AVANCT caissier"/>
      <sheetName val="Destinataire caissier"/>
      <sheetName val="PFA caissier"/>
      <sheetName val="ДС МЗК"/>
      <sheetName val="Начисления процентов"/>
      <sheetName val="Накл"/>
      <sheetName val="ОТиТБ"/>
      <sheetName val="Форма2"/>
      <sheetName val="Форма1"/>
      <sheetName val="summary"/>
      <sheetName val="Предпосылки"/>
      <sheetName val="Quarterly (P)"/>
      <sheetName val="AL2"/>
      <sheetName val="ЦХЛ 2004"/>
      <sheetName val="ТМЗ-6"/>
      <sheetName val="ФО-12_"/>
      <sheetName val="1_(2)"/>
      <sheetName val="д_1_001"/>
      <sheetName val="д_2_001"/>
      <sheetName val="д_2_002"/>
      <sheetName val="д_2_003"/>
      <sheetName val="д_2_004"/>
      <sheetName val="д_2_005"/>
      <sheetName val="д_2_006"/>
      <sheetName val="д_2_007"/>
      <sheetName val="д_2_008"/>
      <sheetName val="д_2_009"/>
      <sheetName val="д_2_010"/>
      <sheetName val="д_3_001"/>
      <sheetName val="Д_3_002"/>
      <sheetName val="д_4_001"/>
      <sheetName val="д_6_001"/>
      <sheetName val="д_6_002"/>
      <sheetName val="д_6_003"/>
      <sheetName val="д_7_0011"/>
      <sheetName val="д_8_001"/>
      <sheetName val="д_8_002"/>
      <sheetName val="д_9_001"/>
      <sheetName val="Д_11"/>
      <sheetName val="д_13_001"/>
      <sheetName val="д_13_002"/>
      <sheetName val="Д_13_004"/>
      <sheetName val="д_13_005"/>
      <sheetName val="д_13_007"/>
      <sheetName val="д_14_001"/>
      <sheetName val="д_15_001"/>
      <sheetName val="д_16_001"/>
      <sheetName val="д_17_001"/>
      <sheetName val="д_17_002"/>
      <sheetName val="д_20_001"/>
      <sheetName val="д_22_001"/>
      <sheetName val="д_22_002"/>
      <sheetName val="д_22_003"/>
      <sheetName val="д_22_005"/>
      <sheetName val="расш_22"/>
      <sheetName val="д_23"/>
      <sheetName val="д_25_001"/>
      <sheetName val="д_27_001"/>
      <sheetName val="д_28_001"/>
      <sheetName val="д_28_002"/>
      <sheetName val="д_28_003"/>
      <sheetName val="д_28_004"/>
      <sheetName val="д_28_005"/>
      <sheetName val="д_28_006"/>
      <sheetName val="ЗАО_(2)"/>
      <sheetName val="ОАО_(2)"/>
      <sheetName val="Прочие_(2)"/>
      <sheetName val="Стор_нов_(2)"/>
      <sheetName val="форма_№_1_"/>
      <sheetName val="Форма_№2"/>
      <sheetName val="Форма_№3"/>
      <sheetName val="Формат_№4"/>
      <sheetName val="Добыча_нефти4"/>
      <sheetName val="поставка_сравн13"/>
      <sheetName val="100_за_6_месяцев_2003_года"/>
      <sheetName val="Balance_Sheet"/>
      <sheetName val="из_сем"/>
      <sheetName val="9_мес_2006_Еркен_заполни_здесь"/>
      <sheetName val="AVANCT_caissier"/>
      <sheetName val="Destinataire_caissier"/>
      <sheetName val="PFA_caissier"/>
      <sheetName val="ДС_МЗК"/>
      <sheetName val="Начисления_процен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akdown"/>
      <sheetName val="Salary test"/>
      <sheetName val="XREF"/>
      <sheetName val="Tickmarks"/>
      <sheetName val="Threshold Table"/>
      <sheetName val="д.7.001"/>
      <sheetName val="Anlagevermögen"/>
      <sheetName val="summary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ТМЗ-6"/>
      <sheetName val="Март"/>
      <sheetName val="Сентябрь"/>
      <sheetName val="Квартал"/>
      <sheetName val="Январь"/>
      <sheetName val="Декабрь"/>
      <sheetName val="Ноябрь"/>
      <sheetName val="Datasheet"/>
      <sheetName val="4"/>
      <sheetName val="Mvnt"/>
      <sheetName val="Disclosure"/>
      <sheetName val="KEGOC - Global"/>
      <sheetName val="Sarbai MES"/>
      <sheetName val="Содержание"/>
      <sheetName val="CMA Calculations- R Factor"/>
      <sheetName val="CMA Calculations- Figure 5440.1"/>
      <sheetName val="九九年各月"/>
      <sheetName val="Бонды стр.341"/>
      <sheetName val="Saisie obligatoire"/>
      <sheetName val="Work_Packages_data"/>
      <sheetName val="Target"/>
      <sheetName val="Links"/>
      <sheetName val="Lead"/>
      <sheetName val="Depreciation"/>
      <sheetName val="Additions testing"/>
      <sheetName val="Movement schedule"/>
      <sheetName val="depreciation testing"/>
      <sheetName val="Worksheet in 8341 Salaries - CH"/>
      <sheetName val="Inputs"/>
      <sheetName val="Threshold_Table"/>
      <sheetName val="1-1"/>
      <sheetName val="1"/>
      <sheetName val="XLR_NoRangeShee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 (DM)"/>
      <sheetName val="Prov (USD)"/>
      <sheetName val="obs NTM "/>
      <sheetName val="Obs cig"/>
      <sheetName val="Str costs"/>
      <sheetName val="Anlagevermögen"/>
      <sheetName val="Threshold Table"/>
      <sheetName val="Dictionaries"/>
      <sheetName val="2210900-Aug"/>
      <sheetName val="M-100"/>
      <sheetName val="#ССЫЛКА"/>
      <sheetName val="LE 05 attachment"/>
      <sheetName val="Содержание"/>
      <sheetName val="misc"/>
      <sheetName val="Info"/>
      <sheetName val="CMA Calculations- Figure 5440.1"/>
      <sheetName val="FES"/>
      <sheetName val="Loans out"/>
      <sheetName val="д.7.001"/>
      <sheetName val="XREF"/>
      <sheetName val="Prov_(DM)"/>
      <sheetName val="Prov_(USD)"/>
      <sheetName val="obs_NTM_"/>
      <sheetName val="Obs_cig"/>
      <sheetName val="Str_costs"/>
      <sheetName val="Threshold_Table"/>
      <sheetName val="LE_05_attachment"/>
      <sheetName val="CMA_Calculations-_Figure_5440_1"/>
      <sheetName val="Loans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L-1"/>
      <sheetName val="2.2 ОтклОТМ"/>
      <sheetName val="1.3.2 ОТМ"/>
      <sheetName val="Plrap"/>
      <sheetName val="Plsum"/>
      <sheetName val="Pladj"/>
      <sheetName val="FES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Anlagevermögen"/>
      <sheetName val="1NK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свод"/>
      <sheetName val="группа"/>
      <sheetName val="Расчеты"/>
      <sheetName val="Данные"/>
      <sheetName val="Def"/>
      <sheetName val="2БО"/>
      <sheetName val="Sheet1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Inputs - general"/>
      <sheetName val="US Dollar 2003"/>
      <sheetName val="SDR 2003"/>
      <sheetName val="Disclosure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Cash CCI Detail"/>
      <sheetName val="IIb P_L short"/>
      <sheetName val="IV REVENUE  F_B"/>
      <sheetName val="Параметры"/>
      <sheetName val="TERMS"/>
      <sheetName val="Sensitivity"/>
      <sheetName val="Threshold Table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БРК 1"/>
      <sheetName val="БРК 2"/>
      <sheetName val="БРК 3"/>
      <sheetName val="Управление"/>
      <sheetName val="ГБРК"/>
      <sheetName val="Произв. затраты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heet2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Prelim Cost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Range data"/>
      <sheetName val="Dictionaries"/>
      <sheetName val="XREF"/>
      <sheetName val="GAAP TB 30.09.01  detail p&amp;l"/>
      <sheetName val="Treatment Summary"/>
      <sheetName val="cash product. plan"/>
      <sheetName val="Controls"/>
      <sheetName val="PRECA citadis"/>
      <sheetName val="ЦХЛ 2004"/>
      <sheetName val="Read me first"/>
      <sheetName val="DB"/>
      <sheetName val="ОПГЗ"/>
      <sheetName val="План ГЗ"/>
      <sheetName val="Other software VCR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Chart"/>
      <sheetName val=" По скв"/>
      <sheetName val="Распределение"/>
      <sheetName val="13. Проверка"/>
      <sheetName val="11. Тест на обесценение"/>
      <sheetName val="Depr"/>
      <sheetName val="Control Settings"/>
      <sheetName val="M1-Main Assu"/>
      <sheetName val="Cover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 refreshError="1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sheet"/>
      <sheetName val="Threshold"/>
      <sheetName val="Tickmarks"/>
      <sheetName val="misc"/>
      <sheetName val="Info"/>
      <sheetName val="Movements"/>
      <sheetName val="Disclosure"/>
      <sheetName val="Anlagevermögen"/>
      <sheetName val="П_макросы"/>
      <sheetName val="Test of FA Installation"/>
      <sheetName val="Additions"/>
      <sheetName val="Rollforward"/>
      <sheetName val="FAR 04"/>
      <sheetName val="Собственный капитал"/>
      <sheetName val="PP&amp;E mvt for 2003"/>
      <sheetName val="9-1"/>
      <sheetName val="4"/>
      <sheetName val="1-1"/>
      <sheetName val="1"/>
      <sheetName val="д.7.001"/>
      <sheetName val="XREF"/>
      <sheetName val="Movement"/>
      <sheetName val="% threshhold(salary)"/>
      <sheetName val="P&amp;L"/>
      <sheetName val="Provisions"/>
      <sheetName val="breakdown"/>
      <sheetName val="COS calculation"/>
      <sheetName val="Spreadsheet # 2"/>
      <sheetName val="HideSheet"/>
      <sheetName val="База"/>
      <sheetName val="7"/>
      <sheetName val="10"/>
      <sheetName val="Список документов"/>
      <sheetName val="Hidden"/>
      <sheetName val="Worksheet in (C) 8755 Depreciat"/>
      <sheetName val="Sheet1"/>
      <sheetName val="Форма2"/>
      <sheetName val="Курсы"/>
      <sheetName val="ВСДС_1 (MAIN)"/>
      <sheetName val="Dictionaries"/>
      <sheetName val="Threshold Table"/>
      <sheetName val="Параметры"/>
      <sheetName val="Доходы и расходы"/>
      <sheetName val="Вспомогательный"/>
      <sheetName val="Цены"/>
      <sheetName val="FES"/>
      <sheetName val="700-H"/>
      <sheetName val="FA depreciation"/>
      <sheetName val="Additions testing"/>
      <sheetName val="Movement schedule"/>
      <sheetName val="depreciation testing"/>
      <sheetName val="Credit lines - PBC"/>
      <sheetName val="Accrued interest - PBC"/>
      <sheetName val="BD"/>
      <sheetName val="LBO Model"/>
    </sheetNames>
    <sheetDataSet>
      <sheetData sheetId="0" refreshError="1"/>
      <sheetData sheetId="1">
        <row r="16">
          <cell r="G16">
            <v>4073</v>
          </cell>
        </row>
      </sheetData>
      <sheetData sheetId="2">
        <row r="16">
          <cell r="G16">
            <v>4073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FS-97"/>
      <sheetName val="КР з.ч"/>
      <sheetName val="misc"/>
      <sheetName val="Anlagevermögen"/>
      <sheetName val="$ IS"/>
      <sheetName val="Income Statement"/>
      <sheetName val="Ratios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  <sheetName val="Anlageverm?gen"/>
      <sheetName val="FS-97"/>
      <sheetName val="GAAP TB 30.09.01  detail p&amp;l"/>
      <sheetName val="Планы"/>
      <sheetName val="$ IS"/>
      <sheetName val="290"/>
      <sheetName val="05"/>
      <sheetName val="PIT&amp;PP(2)"/>
      <sheetName val="fish"/>
      <sheetName val="D_Opex"/>
      <sheetName val="std tabel"/>
      <sheetName val="July_03_Pg8"/>
      <sheetName val="Opening"/>
      <sheetName val="по связ карточки"/>
      <sheetName val="CPI"/>
      <sheetName val="I-Index"/>
      <sheetName val="PIT&amp;PP"/>
      <sheetName val="Список документов"/>
      <sheetName val="7"/>
      <sheetName val="10"/>
      <sheetName val="1"/>
      <sheetName val="ANLAGEN"/>
      <sheetName val="Reference"/>
      <sheetName val="Production_Ref Q-1-3"/>
      <sheetName val="WBS elements RS-v.02A"/>
      <sheetName val="2.2 ОтклОТМ"/>
      <sheetName val="1.3.2 ОТМ"/>
      <sheetName val="Предпр"/>
      <sheetName val="ЦентрЗатр"/>
      <sheetName val="ЕдИзм"/>
      <sheetName val="КР материалы"/>
      <sheetName val="Курс.разн КТЖ"/>
      <sheetName val="Anlageverm_gen"/>
      <sheetName val="Info"/>
      <sheetName val="Links"/>
      <sheetName val="Lead"/>
      <sheetName val="plan"/>
      <sheetName val="Настройка"/>
      <sheetName val="Pro Forma"/>
      <sheetName val="Inputs"/>
      <sheetName val="Threshold Table"/>
      <sheetName val="INTRODUC"/>
      <sheetName val="General"/>
      <sheetName val="Eqty"/>
      <sheetName val="J-55"/>
      <sheetName val="I-20"/>
      <sheetName val="Sheet1"/>
      <sheetName val="Sheet2"/>
      <sheetName val="I-100"/>
      <sheetName val="I-200"/>
      <sheetName val="I-300"/>
      <sheetName val="I-400"/>
      <sheetName val="Лист2"/>
      <sheetName val="G-80"/>
      <sheetName val="Облигации Министерства финансов"/>
      <sheetName val="Tabeller"/>
      <sheetName val="База"/>
      <sheetName val="Random Report"/>
      <sheetName val="Sheet3"/>
      <sheetName val="SMSTemp"/>
      <sheetName val="Бюджет"/>
      <sheetName val="XLR_NoRangeSheet"/>
      <sheetName val="Index list"/>
      <sheetName val="NIR-1&amp;2"/>
      <sheetName val="NIR-3"/>
      <sheetName val="NIR-4"/>
      <sheetName val="NIR-5"/>
      <sheetName val="NIR-6"/>
      <sheetName val="NIR-7"/>
      <sheetName val="NIR-10"/>
      <sheetName val="NIR-17"/>
      <sheetName val="NIR-18"/>
      <sheetName val="NIR 19"/>
      <sheetName val="NIR 20"/>
      <sheetName val="NIR 21"/>
      <sheetName val="NIR 22"/>
      <sheetName val="NIR 23"/>
      <sheetName val="NIR 24"/>
      <sheetName val="NBT-BS"/>
      <sheetName val="G-50 (GL)"/>
      <sheetName val="NIR"/>
      <sheetName val="Settings"/>
      <sheetName val="п 15"/>
      <sheetName val="tr"/>
      <sheetName val="Hidden"/>
      <sheetName val="д.7.001"/>
      <sheetName val="Rollforward {pbe}"/>
      <sheetName val="Allow - SR&amp;D"/>
      <sheetName val="misc"/>
      <sheetName val="Pro_Forma"/>
      <sheetName val="Pro_Forma1"/>
      <sheetName val="SA Procedures"/>
      <sheetName val="MetaData"/>
      <sheetName val="BS"/>
      <sheetName val="Balance Sh+Indices"/>
      <sheetName val="GAAP_TB_30_09_01__detail_p&amp;l"/>
      <sheetName val="$_IS"/>
      <sheetName val="std_tabel"/>
      <sheetName val="по_связ_карточки"/>
      <sheetName val="Список_документов"/>
      <sheetName val="Production_Ref_Q-1-3"/>
      <sheetName val="WBS_elements_RS-v_02A"/>
      <sheetName val="2_2_ОтклОТМ"/>
      <sheetName val="1_3_2_ОТМ"/>
      <sheetName val="Курс_разн_КТЖ"/>
      <sheetName val="КР_материалы"/>
      <sheetName val="Threshold_Table"/>
      <sheetName val="Облигации_Министерства_финансов"/>
      <sheetName val="Random_Report"/>
      <sheetName val="Index_list"/>
      <sheetName val="NIR_19"/>
      <sheetName val="NIR_20"/>
      <sheetName val="NIR_21"/>
      <sheetName val="NIR_22"/>
      <sheetName val="NIR_23"/>
      <sheetName val="NIR_24"/>
      <sheetName val="G-50_(GL)"/>
      <sheetName val="п_15"/>
      <sheetName val="д_7_001"/>
      <sheetName val="Rollforward_{pbe}"/>
      <sheetName val="Allow_-_SR&amp;D"/>
      <sheetName val="Справочно"/>
      <sheetName val="DATA"/>
      <sheetName val="КР з.ч"/>
      <sheetName val="Summary"/>
      <sheetName val="References"/>
      <sheetName val="Graphs"/>
      <sheetName val="Head Office"/>
      <sheetName val="Inst.Cap."/>
      <sheetName val="Fin.Sources"/>
      <sheetName val="Translations"/>
      <sheetName val="Model Setup"/>
      <sheetName val="Client Cost"/>
      <sheetName val="Products"/>
      <sheetName val="Intro"/>
      <sheetName val="Navigator"/>
      <sheetName val="Fin.Flows"/>
      <sheetName val="Pop-up Help"/>
      <sheetName val="Prizren"/>
      <sheetName val="Export"/>
      <sheetName val="Clipboard"/>
      <sheetName val="Retention"/>
      <sheetName val="Summary Rep"/>
      <sheetName val="WWB PAAP"/>
      <sheetName val="Excess Calc"/>
      <sheetName val="Nostro"/>
      <sheetName val="Loans to Banks"/>
      <sheetName val="Window dressing"/>
      <sheetName val="Data Validation"/>
      <sheetName val="Mkt Cap"/>
      <sheetName val="INPUT"/>
      <sheetName val="Итог"/>
      <sheetName val="2"/>
      <sheetName val="3"/>
      <sheetName val="4"/>
      <sheetName val="MES"/>
      <sheetName val="Adjustments"/>
      <sheetName val="Securities"/>
      <sheetName val="Assumptions and Inputs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"/>
      <sheetName val="Links"/>
      <sheetName val="Форма2"/>
      <sheetName val="Anlagevermögen"/>
      <sheetName val="FS-97"/>
      <sheetName val="Hidden"/>
      <sheetName val="Форма1"/>
      <sheetName val="ВОЛС"/>
      <sheetName val="SA Procedures"/>
      <sheetName val="1N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Links"/>
      <sheetName val="ВОЛС"/>
      <sheetName val="FES"/>
      <sheetName val="Содержание"/>
      <sheetName val="SA Procedures"/>
      <sheetName val="MetaData"/>
      <sheetName val="57_1NKs плюс АА_Н"/>
      <sheetName val="Info"/>
      <sheetName val="д.7.001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name"/>
      <sheetName val="PROGNOS"/>
      <sheetName val="свод"/>
      <sheetName val="группа"/>
      <sheetName val="5R"/>
      <sheetName val="LBS Reminder"/>
      <sheetName val="5"/>
      <sheetName val="Anlagevermögen"/>
      <sheetName val="Sample"/>
      <sheetName val="Норм потери_БУ"/>
      <sheetName val="Статьи"/>
      <sheetName val="OffshoreBatchReport"/>
      <sheetName val="7.1"/>
      <sheetName val="ШРР"/>
      <sheetName val="Баланс ТД"/>
      <sheetName val="12НК"/>
      <sheetName val="7НК"/>
      <sheetName val="Важн_2004"/>
      <sheetName val="Важн_20041"/>
      <sheetName val="FS-97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Лист5"/>
      <sheetName val="Loaded"/>
      <sheetName val="База"/>
      <sheetName val="Труд"/>
      <sheetName val="2БО"/>
      <sheetName val="2НК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Lead"/>
      <sheetName val="Drop Down"/>
      <sheetName val="Свод за 2006г"/>
      <sheetName val="Income Statement"/>
      <sheetName val="Ratios"/>
      <sheetName val="Area Summary"/>
      <sheetName val="KAZAK_RECO_ST_99"/>
      <sheetName val="Profit_&amp;_Loss_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Содержание"/>
      <sheetName val="Captions"/>
      <sheetName val="Форма2"/>
      <sheetName val="6НК-cт.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Info"/>
      <sheetName val="из_сем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д.7.001"/>
      <sheetName val="$ IS"/>
      <sheetName val="list_with_code"/>
      <sheetName val="Статьи"/>
      <sheetName val="KCC"/>
      <sheetName val="7_1"/>
      <sheetName val="7_11"/>
      <sheetName val="Мебель"/>
      <sheetName val="  2.3.2"/>
      <sheetName val="2 БО"/>
      <sheetName val="IS"/>
      <sheetName val="Anlagevermögen"/>
      <sheetName val="ЛСЦ начисленное на 31.12.08"/>
      <sheetName val="ЛЛизинг начис. на 31.12.08"/>
      <sheetName val="OffshoreBatchReport"/>
      <sheetName val="SMSTemp"/>
      <sheetName val="Управление"/>
      <sheetName val="Справочники"/>
      <sheetName val="IPO1"/>
      <sheetName val="Модель"/>
      <sheetName val="6НК-cт_"/>
      <sheetName val="KAZAK_RECO_ST_99"/>
      <sheetName val="Comp06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Д"/>
      <sheetName val="roset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/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/>
      <sheetData sheetId="122">
        <row r="16">
          <cell r="G16" t="str">
            <v>оценка (2вар.)</v>
          </cell>
        </row>
      </sheetData>
      <sheetData sheetId="123">
        <row r="1">
          <cell r="H1" t="str">
            <v>Вид</v>
          </cell>
        </row>
      </sheetData>
      <sheetData sheetId="124"/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/>
      <sheetData sheetId="132"/>
      <sheetData sheetId="133">
        <row r="16">
          <cell r="G16" t="str">
            <v>оценка (2вар.)</v>
          </cell>
        </row>
      </sheetData>
      <sheetData sheetId="134"/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/>
      <sheetData sheetId="139"/>
      <sheetData sheetId="140">
        <row r="16">
          <cell r="G16" t="str">
            <v>оценка (2вар.)</v>
          </cell>
        </row>
      </sheetData>
      <sheetData sheetId="141"/>
      <sheetData sheetId="142"/>
      <sheetData sheetId="143">
        <row r="16">
          <cell r="G16" t="str">
            <v>оценка (2вар.)</v>
          </cell>
        </row>
      </sheetData>
      <sheetData sheetId="144"/>
      <sheetData sheetId="145"/>
      <sheetData sheetId="146">
        <row r="1">
          <cell r="H1" t="str">
            <v>Вид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>
        <row r="1">
          <cell r="H1" t="str">
            <v>Вид</v>
          </cell>
        </row>
      </sheetData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rUMG"/>
      <sheetName val="Capex"/>
      <sheetName val="2.2 ОтклОТМ"/>
      <sheetName val="1.3.2 ОТМ"/>
      <sheetName val="из сем"/>
      <sheetName val="Comp"/>
      <sheetName val="7.1"/>
      <sheetName val="Dictionaries"/>
      <sheetName val="FES"/>
      <sheetName val="Форма2"/>
      <sheetName val="Comp06"/>
      <sheetName val="Graph"/>
      <sheetName val="Hidden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Список документов"/>
      <sheetName val="7"/>
      <sheetName val="10"/>
      <sheetName val="1"/>
      <sheetName val="Links"/>
      <sheetName val="ЛСЦ начисленное на 31.12.08"/>
      <sheetName val="ЛЛизинг начис. на 31.12.08"/>
      <sheetName val="МодельППП (Свод)"/>
      <sheetName val="KAZAK RECO ST 99"/>
      <sheetName val="FS-97"/>
      <sheetName val="ВОЛС"/>
      <sheetName val="SA Procedures"/>
      <sheetName val="MetaData"/>
      <sheetName val="2_2 ОтклОТМ"/>
      <sheetName val="1_3_2 ОТМ"/>
      <sheetName val="P9-BS by Co"/>
      <sheetName val="Catalogue"/>
      <sheetName val="ОТиТБ"/>
      <sheetName val="объемные показатели с доходами"/>
      <sheetName val="XREF"/>
      <sheetName val="Пр2"/>
      <sheetName val="Info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Loaded"/>
      <sheetName val="ВСДС_1 (MAIN)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14.1.2.2.(Услуги связи)"/>
      <sheetName val="#ССЫЛКА"/>
      <sheetName val="поставка сравн13"/>
      <sheetName val="6НК-cт."/>
      <sheetName val="Anlagevermögen"/>
      <sheetName val="д.7.001"/>
      <sheetName val="КР з.ч"/>
      <sheetName val="Project Detail Inputs"/>
      <sheetName val="Production"/>
      <sheetName val="КР материалы"/>
      <sheetName val="хим.реаг."/>
      <sheetName val="Staff"/>
      <sheetName val="Lead"/>
      <sheetName val="Allow {pbe}"/>
      <sheetName val=""/>
      <sheetName val="F_Assumptions"/>
      <sheetName val="2_2_ОтклОТМ6"/>
      <sheetName val="1_3_2_ОТМ6"/>
      <sheetName val="из_сем3"/>
      <sheetName val="7_13"/>
      <sheetName val="18_3"/>
      <sheetName val="08_3"/>
      <sheetName val="11_3"/>
      <sheetName val="14_3"/>
      <sheetName val="15_3"/>
      <sheetName val="05_3"/>
      <sheetName val="09_3"/>
      <sheetName val="04_3"/>
      <sheetName val="19_3"/>
      <sheetName val="01_3"/>
      <sheetName val="17_3"/>
      <sheetName val="07_3"/>
      <sheetName val="06_3"/>
      <sheetName val="16_3"/>
      <sheetName val="10_3"/>
      <sheetName val="28_3"/>
      <sheetName val="13_3"/>
      <sheetName val="03_3"/>
      <sheetName val="29_3"/>
      <sheetName val="30_3"/>
      <sheetName val="31_3"/>
      <sheetName val="27_3"/>
      <sheetName val="12_3"/>
      <sheetName val="20_3"/>
      <sheetName val="24_3"/>
      <sheetName val="25_3"/>
      <sheetName val="02_3"/>
      <sheetName val="21_3"/>
      <sheetName val="26_3"/>
      <sheetName val="23_3"/>
      <sheetName val="22_3"/>
      <sheetName val="Список_документов3"/>
      <sheetName val="ЛСЦ_начисленное_на_31_12_083"/>
      <sheetName val="ЛЛизинг_начис__на_31_12_083"/>
      <sheetName val="МодельППП_(Свод)3"/>
      <sheetName val="KAZAK_RECO_ST_993"/>
      <sheetName val="SA_Procedures2"/>
      <sheetName val="2_2_ОтклОТМ7"/>
      <sheetName val="1_3_2_ОТМ7"/>
      <sheetName val="P9-BS_by_Co3"/>
      <sheetName val="объемные_показатели_с_доходами"/>
      <sheetName val="ВСДС_1_(MAIN)"/>
      <sheetName val="канат_прод_1"/>
      <sheetName val="6НК-cт_"/>
      <sheetName val="14_1_2_2_(Услуги_связи)"/>
      <sheetName val="поставка_сравн13"/>
      <sheetName val="LTM"/>
      <sheetName val="CREDIT STATS"/>
      <sheetName val="DropZone"/>
      <sheetName val="Analitics"/>
      <sheetName val="2014"/>
      <sheetName val="P3 (1)"/>
      <sheetName val="BA-9 KZT Denom Accruals-Revers"/>
      <sheetName val="BA-10 Inventory Reclasess"/>
      <sheetName val="TB-30999 - Final"/>
      <sheetName val="TB-311298 - Final"/>
      <sheetName val="Read me fir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2.2 ОтклОТМ"/>
      <sheetName val="1.3.2 ОТМ"/>
      <sheetName val="Форма2"/>
      <sheetName val="Прочие "/>
      <sheetName val="Добыча нефти4"/>
      <sheetName val="Capex"/>
      <sheetName val="ОТиТБ"/>
      <sheetName val="Пр2"/>
      <sheetName val="FES"/>
      <sheetName val="SA Procedures"/>
      <sheetName val="Hidden"/>
      <sheetName val="субподряд 2013"/>
      <sheetName val="Kmg_57s 24 02 05"/>
      <sheetName val="Список документов"/>
      <sheetName val="7"/>
      <sheetName val="10"/>
      <sheetName val="ВОЛС"/>
      <sheetName val="поставка сравн13"/>
      <sheetName val="Info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6НК-cт."/>
      <sheetName val="cons AG 31.03.2012"/>
      <sheetName val="RP"/>
      <sheetName val="Links"/>
      <sheetName val="База"/>
      <sheetName val="1"/>
      <sheetName val="$ IS"/>
      <sheetName val="GAAP TB 30.09.01  detail p&amp;l"/>
      <sheetName val="FS-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A2">
            <v>6</v>
          </cell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Income Statement"/>
      <sheetName val="Balance Sheet"/>
      <sheetName val="Cash"/>
      <sheetName val="Income Statement - E&amp;P"/>
      <sheetName val="Balance Sheet E &amp; P"/>
      <sheetName val="IS Consolidated HKM&amp;Turg"/>
      <sheetName val="Is Divisional Summary"/>
      <sheetName val="Income Statement - Refining"/>
      <sheetName val="Balance Sheet ShNos"/>
      <sheetName val="Income Statement - Ref Deta"/>
      <sheetName val="IS Divisional Refining"/>
      <sheetName val="Income Statement - Farm"/>
      <sheetName val="Balance Sheet Agriculture"/>
      <sheetName val="Income Statem.-Farm Det"/>
      <sheetName val="IS Divisional Farm"/>
      <sheetName val="Income Statement - Corporate"/>
      <sheetName val="Balance Sheet Corporate"/>
      <sheetName val="Income Stat-Corp Det"/>
      <sheetName val="IS Divisional Corporate"/>
      <sheetName val="Список документов"/>
      <sheetName val="7"/>
      <sheetName val="10"/>
      <sheetName val="1"/>
      <sheetName val="ЦентрЗатр"/>
      <sheetName val="ЕдИзм"/>
      <sheetName val="Предпр"/>
      <sheetName val="ВСДС_1 (MAIN)"/>
      <sheetName val="2.2 ОтклОТМ"/>
      <sheetName val="1.3.2 ОТМ"/>
      <sheetName val="Links"/>
      <sheetName val="depreciation testing"/>
      <sheetName val="Hidden"/>
      <sheetName val="ЛСЦ начисленное на 31.12.08"/>
      <sheetName val="ЛЛизинг начис. на 31.12.08"/>
      <sheetName val="1NK"/>
      <sheetName val="Datasheet"/>
      <sheetName val="Форма2"/>
      <sheetName val="Форма1"/>
      <sheetName val="$ IS"/>
      <sheetName val="PP&amp;E mvt for 2003"/>
      <sheetName val="breakdown"/>
      <sheetName val="FA depreciation"/>
      <sheetName val="МодельППП (Свод)"/>
      <sheetName val="Production_Ref Q-1-3"/>
      <sheetName val="Б.мчас (П)"/>
      <sheetName val="Additions_Disposals"/>
      <sheetName val="Analytics"/>
      <sheetName val="P&amp;L"/>
      <sheetName val="Provisions"/>
      <sheetName val="Movement"/>
      <sheetName val="XREF"/>
      <sheetName val="Курсы"/>
      <sheetName val="Additions testing"/>
      <sheetName val="Movement schedule"/>
      <sheetName val="FA Movement "/>
      <sheetName val="Огл. Графиков"/>
      <sheetName val="Текущие цены"/>
      <sheetName val="рабочий"/>
      <sheetName val="окраска"/>
      <sheetName val="calc"/>
      <sheetName val="GAAP TB 30.09.01  detail p&amp;l"/>
      <sheetName val="9-1"/>
      <sheetName val="4"/>
      <sheetName val="1-1"/>
      <sheetName val="HKM RTC Crude costs"/>
      <sheetName val="TB"/>
      <sheetName val="PR CN"/>
      <sheetName val="ТЭП старая"/>
      <sheetName val="Deferred tax liability (asset)"/>
      <sheetName val="Март"/>
      <sheetName val="Сентябрь"/>
      <sheetName val="Квартал"/>
      <sheetName val="Январь"/>
      <sheetName val="Декабрь"/>
      <sheetName val="Ноябрь"/>
      <sheetName val="misc"/>
      <sheetName val="Main_Page"/>
      <sheetName val="Income_Statement"/>
      <sheetName val="Balance_Sheet"/>
      <sheetName val="Income_Statement_-_E&amp;P"/>
      <sheetName val="Balance_Sheet_E_&amp;_P"/>
      <sheetName val="IS_Consolidated_HKM&amp;Turg"/>
      <sheetName val="Is_Divisional_Summary"/>
      <sheetName val="Income_Statement_-_Refining"/>
      <sheetName val="Balance_Sheet_ShNos"/>
      <sheetName val="Income_Statement_-_Ref_Deta"/>
      <sheetName val="IS_Divisional_Refining"/>
      <sheetName val="Income_Statement_-_Farm"/>
      <sheetName val="Balance_Sheet_Agriculture"/>
      <sheetName val="Income_Statem_-Farm_Det"/>
      <sheetName val="IS_Divisional_Farm"/>
      <sheetName val="Income_Statement_-_Corporate"/>
      <sheetName val="Balance_Sheet_Corporate"/>
      <sheetName val="Income_Stat-Corp_Det"/>
      <sheetName val="IS_Divisional_Corporate"/>
      <sheetName val="Список_документов"/>
      <sheetName val="ВСДС_1_(MAIN)"/>
      <sheetName val="2_2_ОтклОТМ"/>
      <sheetName val="1_3_2_ОТМ"/>
      <sheetName val="depreciation_testing"/>
      <sheetName val="ЛСЦ_начисленное_на_31_12_08"/>
      <sheetName val="ЛЛизинг_начис__на_31_12_08"/>
      <sheetName val="$_IS"/>
      <sheetName val="PP&amp;E_mvt_for_2003"/>
      <sheetName val="FA_depreciation"/>
      <sheetName val="МодельППП_(Свод)"/>
      <sheetName val="Production_Ref_Q-1-3"/>
      <sheetName val="Б_мчас_(П)"/>
      <sheetName val="Additions_testing"/>
      <sheetName val="Movement_schedule"/>
      <sheetName val="FA_Movement_"/>
      <sheetName val="Огл__Графиков"/>
      <sheetName val="Текущие_цены"/>
      <sheetName val="GAAP_TB_30_09_01__detail_p&amp;l"/>
      <sheetName val="HKM_RTC_Crude_costs"/>
      <sheetName val="PR_CN"/>
      <sheetName val="ТЭП_старая"/>
      <sheetName val="Deferred_tax_liability_(asse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ude purchases"/>
      <sheetName val="801.7020"/>
      <sheetName val="802.7110"/>
      <sheetName val="802.6600"/>
      <sheetName val="802.6500 ok"/>
      <sheetName val="802.7100 ok"/>
      <sheetName val="$ IS"/>
      <sheetName val="Список документов"/>
      <sheetName val="7"/>
      <sheetName val="10"/>
      <sheetName val="1"/>
      <sheetName val="Links"/>
      <sheetName val="Balance Sheet"/>
      <sheetName val="GAAP TB 30.09.01  detail p&amp;l"/>
      <sheetName val="ЦентрЗатр"/>
      <sheetName val="ЕдИзм"/>
      <sheetName val="Предпр"/>
      <sheetName val="ЛСЦ начисленное на 31.12.08"/>
      <sheetName val="ЛЛизинг начис. на 31.12.08"/>
      <sheetName val="Форма2"/>
      <sheetName val="1.3.2 ОТМ"/>
      <sheetName val="P&amp;L"/>
      <sheetName val="Provisions"/>
      <sheetName val="Cur portion of L-t loans 2006"/>
      <sheetName val="9-1"/>
      <sheetName val="1NK"/>
      <sheetName val="Anlagevermögen"/>
      <sheetName val="FS-97"/>
      <sheetName val="КР з.ч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документов"/>
      <sheetName val="1"/>
      <sheetName val="1-1"/>
      <sheetName val="2"/>
      <sheetName val="2-1"/>
      <sheetName val="3"/>
      <sheetName val="3-2"/>
      <sheetName val="3-3"/>
      <sheetName val="3-4"/>
      <sheetName val="4"/>
      <sheetName val="4-1"/>
      <sheetName val="4-2"/>
      <sheetName val="4-3"/>
      <sheetName val="5"/>
      <sheetName val="5-1"/>
      <sheetName val="6"/>
      <sheetName val="8"/>
      <sheetName val="9"/>
      <sheetName val="9-1"/>
      <sheetName val="9-2"/>
      <sheetName val="10"/>
      <sheetName val="10-1"/>
      <sheetName val="10-2"/>
      <sheetName val="11"/>
      <sheetName val="11-1"/>
      <sheetName val="12"/>
      <sheetName val="13"/>
      <sheetName val="GAAP TB 30.09.01  detail p&amp;l"/>
      <sheetName val="$ IS"/>
      <sheetName val="P&amp;L"/>
      <sheetName val="Provisions"/>
      <sheetName val="Cur portion of L-t loans 2006"/>
      <sheetName val="Worksheet in   CAS - Список инф"/>
      <sheetName val="services.01"/>
      <sheetName val="Threshold Calc"/>
      <sheetName val="utilities.01"/>
      <sheetName val="9_1"/>
      <sheetName val="7"/>
      <sheetName val="ЦентрЗатр"/>
      <sheetName val="ЕдИзм"/>
      <sheetName val="Предпр"/>
      <sheetName val="Hidden"/>
      <sheetName val="breakdown"/>
      <sheetName val="FA(2)"/>
      <sheetName val="FA depreciation"/>
      <sheetName val="Справочники"/>
      <sheetName val="1.3.2 ОТМ"/>
      <sheetName val="Форма2"/>
      <sheetName val="Balance Sheet"/>
      <sheetName val="ТМЗ-6"/>
      <sheetName val="Additions testing"/>
      <sheetName val="Movement schedule"/>
      <sheetName val="depreciation testing"/>
      <sheetName val="Форма1"/>
      <sheetName val="Production_Ref Q-1-3"/>
      <sheetName val="ЛСЦ начисленное на 31.12.08"/>
      <sheetName val="ВСДС_1 (MAIN)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Anlagevermögen"/>
      <sheetName val="Info"/>
      <sheetName val="4. NWABC"/>
      <sheetName val="U-ZR_AT1.XLS"/>
      <sheetName val="2.2 ОтклОТМ"/>
      <sheetName val="Kolommen_balans"/>
      <sheetName val="табл 9"/>
      <sheetName val="summary"/>
      <sheetName val="GAAP_TB_30_09_01__detail_p&amp;l"/>
      <sheetName val="Строки (1 - 91)"/>
      <sheetName val="Links"/>
      <sheetName val="1NK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od"/>
      <sheetName val="Rent"/>
      <sheetName val="Guesthouse"/>
      <sheetName val="Travel local"/>
      <sheetName val="Receivables"/>
      <sheetName val="#REF"/>
      <sheetName val="Anlagevermögen"/>
      <sheetName val="#ССЫЛКА"/>
      <sheetName val="GAAP TB 30.09.01  detail p&amp;l"/>
      <sheetName val="$ IS"/>
      <sheetName val="9-1"/>
      <sheetName val="4"/>
      <sheetName val="1-1"/>
      <sheetName val="1"/>
      <sheetName val="Список документов"/>
      <sheetName val="7"/>
      <sheetName val="10"/>
      <sheetName val="Production_Ref Q-1-3"/>
      <sheetName val="GAAP TB 31.12.01  detail p&amp;l"/>
      <sheetName val="05"/>
      <sheetName val="Hidden"/>
      <sheetName val="ЦентрЗатр"/>
      <sheetName val="ЕдИзм"/>
      <sheetName val="Предпр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2001"/>
      <sheetName val="Q1 PIVOT"/>
      <sheetName val="G&amp;A Q1 2001"/>
      <sheetName val="G&amp;A Q4 2000"/>
      <sheetName val="Q1 2000 PIVOT"/>
      <sheetName val="Q1 2000 detail"/>
      <sheetName val="Tickmarks"/>
      <sheetName val="Production_Ref Q-1-3"/>
      <sheetName val="Anlagevermögen"/>
      <sheetName val="G&amp;A analysis_March"/>
      <sheetName val="GAAP TB 31.12.01  detail p&amp;l"/>
      <sheetName val="GAAP TB 30.09.01  detail p&amp;l"/>
      <sheetName val="Список документов"/>
      <sheetName val="$ IS"/>
      <sheetName val="7"/>
      <sheetName val="10"/>
      <sheetName val="1"/>
      <sheetName val="Форма2"/>
      <sheetName val="Reference"/>
      <sheetName val="Hidden"/>
      <sheetName val="9-1"/>
      <sheetName val="4"/>
      <sheetName val="1-1"/>
      <sheetName val="FA Movement "/>
      <sheetName val="9"/>
      <sheetName val="depreciation testing"/>
      <sheetName val="XREF"/>
      <sheetName val="Справочники"/>
      <sheetName val="ЦентрЗатр"/>
      <sheetName val="FA Movement Kyrg"/>
      <sheetName val="Форма1"/>
      <sheetName val="Cur portion of L-t loans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Production_Ref Q-1-3"/>
      <sheetName val="1"/>
      <sheetName val="фот пп2000разбивка"/>
      <sheetName val="1NK"/>
      <sheetName val="Financial ratios А3"/>
      <sheetName val="2_2 ОтклОТМ"/>
      <sheetName val="1_3_2 ОТМ"/>
      <sheetName val="из сем"/>
      <sheetName val="I. Прогноз доходов"/>
      <sheetName val="Production_ref_Q4"/>
      <sheetName val="Sales-COS"/>
      <sheetName val="PP&amp;E mvt for 2003"/>
      <sheetName val="U2 775 - COGS comparison per su"/>
      <sheetName val="ЗАО_н.ит"/>
      <sheetName val="#ССЫЛКА"/>
      <sheetName val="ЗАО_мес"/>
      <sheetName val="Analytics"/>
      <sheetName val="GAAP TB 31.12.01  detail p&amp;l"/>
      <sheetName val="FA Movement Kyrg"/>
      <sheetName val="Reference"/>
      <sheetName val="Anlagevermögen"/>
      <sheetName val="Список документов"/>
      <sheetName val="перевозки"/>
      <sheetName val="Pbs_Wbs_ATC"/>
      <sheetName val="Non-Statistical Sampling Master"/>
      <sheetName val="Global Data"/>
      <sheetName val="SMSTemp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10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A-20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Links"/>
      <sheetName val="7"/>
      <sheetName val="PIT&amp;PP(2)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ecios"/>
      <sheetName val="Comp06"/>
      <sheetName val="Keys"/>
      <sheetName val="Production_analysis"/>
      <sheetName val="breakdown"/>
      <sheetName val="P&amp;L"/>
      <sheetName val="Provisions"/>
      <sheetName val="FA depreciation"/>
      <sheetName val="InputTI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Profiles"/>
      <sheetName val="Wells"/>
      <sheetName val="3НК"/>
      <sheetName val="153541"/>
      <sheetName val="CD-실적"/>
      <sheetName val="FS-97"/>
      <sheetName val="PY misstatements"/>
      <sheetName val="Variants"/>
      <sheetName val="Utility"/>
      <sheetName val="25. Hidden"/>
      <sheetName val="2. 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Financial_ratios_А3"/>
      <sheetName val="2_2_ОтклОТМ1"/>
      <sheetName val="1_3_2_ОТМ1"/>
      <sheetName val="из_сем3"/>
      <sheetName val="I__Прогноз_доходов"/>
      <sheetName val="PP&amp;E_mvt_for_2003"/>
      <sheetName val="U2_775_-_COGS_comparison_per_su"/>
      <sheetName val="ЗАО_н_ит"/>
      <sheetName val="GAAP_TB_31_12_01__detail_p&amp;l"/>
      <sheetName val="FA_Movement_Kyrg"/>
      <sheetName val="Список_документов"/>
      <sheetName val="Non-Statistical_Sampling_Master"/>
      <sheetName val="Global_Data"/>
      <sheetName val="GAAP_TB_30_09_01__detail_p&amp;l"/>
      <sheetName val="US_Dollar_20033"/>
      <sheetName val="SDR_20033"/>
      <sheetName val="Control_Settings"/>
      <sheetName val="GTM_BK"/>
      <sheetName val="Consolidator_Inputs"/>
      <sheetName val="7_1"/>
      <sheetName val="FP20DB_(3)"/>
      <sheetName val="Курс_валют"/>
      <sheetName val="Другие_расходы"/>
      <sheetName val="Форма_4_кап_зат-ты_(2)"/>
      <sheetName val="2006_AJE_RJE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H3_100_Rollforward"/>
      <sheetName val="Б_мчас_(П)"/>
      <sheetName val="Собственный_капитал"/>
      <sheetName val="SA_Procedures"/>
      <sheetName val="Пр_41"/>
      <sheetName val="2008_ГСМ"/>
      <sheetName val="Плата_за_загрязнение_"/>
      <sheetName val="ОТЧЕТ_КТЖ_01_01_09"/>
      <sheetName val="ввод-вывод_ОС_авг2004-_2005"/>
      <sheetName val="Balance_Sheet"/>
      <sheetName val="$_IS"/>
      <sheetName val="8180_(8181,8182)"/>
      <sheetName val="1_вариант__2009_"/>
      <sheetName val="ЛСЦ_начисленное_на_31_12_08"/>
      <sheetName val="ЛЛизинг_начис__на_31_12_08"/>
      <sheetName val="Инв_вл"/>
      <sheetName val="факт_2005_г_"/>
      <sheetName val="д_7_001"/>
      <sheetName val="свод_грузоотпр_"/>
      <sheetName val="Служебный_ФКРБ"/>
      <sheetName val="Источник_финансирования"/>
      <sheetName val="Способ_закупки"/>
      <sheetName val="Тип_пункта_плана"/>
      <sheetName val="факс(2005-20гг_)"/>
      <sheetName val="FA_depreciation"/>
      <sheetName val="MACRO2_XLM"/>
      <sheetName val="U-ZR_AT1_XLS"/>
      <sheetName val="6НК-cт_"/>
      <sheetName val="Interco_payables&amp;receivables"/>
      <sheetName val="План_произв-ва_(мес_)_(бюджет)"/>
      <sheetName val="Итоговая_таблица"/>
      <sheetName val="1_(2)"/>
      <sheetName val="PY_misstatements"/>
      <sheetName val="I KEY INFORMATION"/>
      <sheetName val="почтов."/>
      <sheetName val="предприятия"/>
      <sheetName val="I_KEY_INFORMATION"/>
      <sheetName val="почтов_"/>
      <sheetName val="Russia Print Version"/>
      <sheetName val="finbal10"/>
      <sheetName val="12НК"/>
      <sheetName val="KCC"/>
      <sheetName val="Данные"/>
      <sheetName val="П"/>
      <sheetName val="2кв."/>
      <sheetName val="Оборудование_стоим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Common"/>
      <sheetName val="OPEX&amp;FIN"/>
      <sheetName val="ППД"/>
      <sheetName val="2в"/>
      <sheetName val="общ-нефт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Cost_99v981"/>
      <sheetName val="cant_sim1"/>
      <sheetName val="фот_пп2000разбивка1"/>
      <sheetName val="Production_Ref_Q-1-31"/>
      <sheetName val="ЗАО_н_ит1"/>
      <sheetName val="Управление"/>
      <sheetName val="Шт расписание"/>
      <sheetName val="TPC con vs bdg"/>
      <sheetName val="O.500 Property Tax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Д"/>
      <sheetName val="ATI"/>
      <sheetName val="Блоки"/>
      <sheetName val="_ССЫЛКА"/>
      <sheetName val="Справочни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Prelim Cost"/>
      <sheetName val="A4-1&amp;2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Russia_Print_Version"/>
      <sheetName val="2_2_ОтклОТМ2"/>
      <sheetName val="1_3_2_ОТМ2"/>
      <sheetName val="2кв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ГМ_"/>
      <sheetName val="-расчет_налогов_от_ФОТ__на_2014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исп_см_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treatment summary"/>
      <sheetName val="sheet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 refreshError="1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 refreshError="1"/>
      <sheetData sheetId="735"/>
      <sheetData sheetId="736"/>
      <sheetData sheetId="737"/>
      <sheetData sheetId="738"/>
      <sheetData sheetId="739"/>
      <sheetData sheetId="740"/>
      <sheetData sheetId="741"/>
      <sheetData sheetId="742" refreshError="1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/>
      <sheetData sheetId="759"/>
      <sheetData sheetId="760"/>
      <sheetData sheetId="761"/>
      <sheetData sheetId="762"/>
      <sheetData sheetId="763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Нефть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ЦентрЗатр"/>
      <sheetName val="ЕдИзм"/>
      <sheetName val="Предпр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свод"/>
      <sheetName val="группа"/>
      <sheetName val="2006 AJE RJE"/>
      <sheetName val="Другие расходы"/>
      <sheetName val="Форма 4 кап.зат-ты (2)"/>
      <sheetName val="Статьи"/>
      <sheetName val="2.2 ОтклОТМ"/>
      <sheetName val="1.3.2 ОТМ"/>
      <sheetName val="FES"/>
      <sheetName val="H3.100 Rollforward"/>
      <sheetName val="Б.мчас (П)"/>
      <sheetName val="Налоги"/>
      <sheetName val="9"/>
      <sheetName val="Analytics"/>
      <sheetName val="Info"/>
      <sheetName val="Production_Ref Q-1-3"/>
      <sheetName val="XREF"/>
      <sheetName val="Список документов"/>
      <sheetName val="ОТЧЕТ КТЖ 01.01.09"/>
      <sheetName val="FA Movement Kyrg"/>
      <sheetName val="FA Movement "/>
      <sheetName val="depreciation testing"/>
      <sheetName val="Anlagevermögen"/>
      <sheetName val="База"/>
      <sheetName val="из сем"/>
      <sheetName val="Собственный капитал"/>
      <sheetName val="Movements"/>
      <sheetName val="Hidden"/>
      <sheetName val="GAAP TB 31.12.01  detail p&amp;l"/>
      <sheetName val="8180 (8181,8182)"/>
      <sheetName val="8082"/>
      <sheetName val="8113"/>
      <sheetName val="Balance Sheet"/>
      <sheetName val="Movement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УПРАВЛЕНИЕ11"/>
      <sheetName val="Pbs_Wbs_ATC"/>
      <sheetName val="Disclosure"/>
      <sheetName val="Бонды стр.341"/>
      <sheetName val="summary"/>
      <sheetName val="Capex"/>
      <sheetName val="INSTRUCTIONS"/>
      <sheetName val="SMSTemp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ВСДС_1 (MAIN)"/>
      <sheetName val="Март"/>
      <sheetName val="Сентябрь"/>
      <sheetName val="Квартал"/>
      <sheetName val="Декабрь"/>
      <sheetName val="Ноябрь"/>
      <sheetName val="Precios"/>
      <sheetName val="Threshold Table"/>
      <sheetName val="1"/>
      <sheetName val="Курсы"/>
      <sheetName val="Links"/>
      <sheetName val="ТМЗ-6"/>
      <sheetName val="ДД"/>
      <sheetName val="ATI"/>
      <sheetName val="form"/>
      <sheetName val="поставка сравн13"/>
      <sheetName val="Исх.данные"/>
      <sheetName val="распределение модели"/>
      <sheetName val="цеховые"/>
      <sheetName val="без НДС"/>
      <sheetName val="Лист2"/>
      <sheetName val="US Dollar 2003"/>
      <sheetName val="SDR 2003"/>
      <sheetName val="Captions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KB som (3)"/>
      <sheetName val="Sheet1"/>
      <sheetName val="Tickmarks"/>
      <sheetName val="Выбытие ОС"/>
      <sheetName val="Additions_Disposals"/>
      <sheetName val="SocFund"/>
      <sheetName val="Лист1"/>
      <sheetName val="Circularization"/>
      <sheetName val="Loan portfolio as of 30.09.03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1 (2)"/>
      <sheetName val="Reconciliation"/>
      <sheetName val="By decades"/>
      <sheetName val="1633"/>
      <sheetName val="1630"/>
      <sheetName val="1635"/>
      <sheetName val="Sheet2"/>
      <sheetName val="Sheet1 (3)"/>
      <sheetName val="160304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LS Reconcilation"/>
      <sheetName val="Disposals TEST"/>
      <sheetName val="Additions TEST"/>
      <sheetName val="Sheet3"/>
      <sheetName val="USD"/>
      <sheetName val="EUR "/>
      <sheetName val="Au840978 (2)"/>
      <sheetName val="Au840978"/>
      <sheetName val="Unrealized"/>
      <sheetName val="840"/>
      <sheetName val="978"/>
      <sheetName val="DD Reserve calculation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LLP per DT"/>
      <sheetName val="Bishkekkuru"/>
      <sheetName val="запрос"/>
      <sheetName val="Final Audit 311204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FA Movement Kyrg"/>
      <sheetName val="BS"/>
      <sheetName val="PL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Discounting_9%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mvnt"/>
      <sheetName val="Production_Ref Q-1-3"/>
      <sheetName val="movement"/>
      <sheetName val="Свод"/>
      <sheetName val="работы и услуги сторонние"/>
      <sheetName val="работы и услуги АО &quot;НК&quot;КТЖ&quot;"/>
      <sheetName val="работы и услуги дочерние"/>
      <sheetName val="прочие"/>
      <sheetName val="субподряд 01.01.10г"/>
      <sheetName val="VFO-25"/>
      <sheetName val="VFO-24"/>
      <sheetName val="VFO-26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Sheet1 (4)"/>
      <sheetName val="CMA - 671 acc. DR"/>
      <sheetName val="pbc_1350-8011"/>
      <sheetName val="Test1350-8011"/>
      <sheetName val="Moinkym"/>
      <sheetName val="Analytic"/>
      <sheetName val="Brk"/>
      <sheetName val="Консолидация"/>
      <sheetName val="EJE (2)"/>
      <sheetName val="Disc"/>
      <sheetName val="EJE"/>
      <sheetName val="TOD TZZ"/>
      <sheetName val="Obsolete TZZ"/>
      <sheetName val="Investments"/>
      <sheetName val="AR_KM"/>
      <sheetName val="Fin. aid"/>
      <sheetName val="PBC"/>
      <sheetName val="Weighted Average Method Test"/>
      <sheetName val="???C_x0008_?_x000d_???"/>
      <sheetName val="Related Parties"/>
      <sheetName val="Elimin"/>
      <sheetName val="СД_311211 (3)"/>
      <sheetName val="Ф2_ЕНПФ_июль"/>
      <sheetName val="_x0000__x0000__x0000_C_x0008__x0000__x000a__x0000__x0000__x0000_"/>
      <sheetName val="???C_x0008_?_x000a_???"/>
      <sheetName val="Список документов"/>
      <sheetName val="7"/>
      <sheetName val="10"/>
      <sheetName val="1"/>
      <sheetName val="FA Movement "/>
      <sheetName val="depreciation testing"/>
      <sheetName val="Test on reserve on vacation"/>
      <sheetName val="COS"/>
      <sheetName val="100_17"/>
      <sheetName val="Other expenses"/>
      <sheetName val="6XXX"/>
      <sheetName val="6012"/>
      <sheetName val="6015"/>
      <sheetName val="6017"/>
      <sheetName val="6018"/>
      <sheetName val="6019"/>
      <sheetName val="6280"/>
      <sheetName val="6282"/>
      <sheetName val="7XXX"/>
      <sheetName val="100"/>
      <sheetName val="8"/>
      <sheetName val="НР-18"/>
      <sheetName val="TZZ"/>
      <sheetName val="Promissory notes- TZZ"/>
      <sheetName val="TZE"/>
      <sheetName val="Summary"/>
      <sheetName val="Datasheet"/>
      <sheetName val="Anlagevermögen"/>
      <sheetName val="GAAP TB 30.09.01  detail p&amp;l"/>
      <sheetName val="Hidden"/>
      <sheetName val="ЛСЦ начисленное на 31.12.08"/>
      <sheetName val="9"/>
      <sheetName val="Capex"/>
      <sheetName val="Форма1"/>
      <sheetName val="2.2 ОтклОТМ"/>
      <sheetName val="1.3.2 ОТМ"/>
      <sheetName val="Предпр"/>
      <sheetName val="ЦентрЗатр"/>
      <sheetName val="ЕдИзм"/>
      <sheetName val="Movements"/>
      <sheetName val="PP&amp;E mvt for 2003"/>
      <sheetName val="GAAP TB 31.12.01  detail p&amp;l"/>
      <sheetName val="P&amp;L"/>
      <sheetName val="Provisions"/>
      <sheetName val="ВСДС_1 (MAIN)"/>
      <sheetName val="3320"/>
      <sheetName val="1210"/>
      <sheetName val="1030"/>
      <sheetName val="ЛЛизинг начис. на 31.12.08"/>
      <sheetName val="9-1"/>
      <sheetName val="4"/>
      <sheetName val="1-1"/>
      <sheetName val="$ IS"/>
      <sheetName val="Disclosure"/>
      <sheetName val="Selection"/>
      <sheetName val="Audit Sample Table (2)"/>
      <sheetName val="Собственный капитал"/>
      <sheetName val="сверка 1"/>
      <sheetName val="TB"/>
      <sheetName val="Taxes"/>
      <sheetName val="GM Analysis"/>
      <sheetName val="1NK"/>
      <sheetName val="КВ"/>
      <sheetName val="Links"/>
      <sheetName val="Lead"/>
      <sheetName val="5"/>
      <sheetName val="Статьи"/>
      <sheetName val="FAR 04"/>
      <sheetName val="Б.мчас (П)"/>
      <sheetName val="___C_x0008___x000d____"/>
      <sheetName val="___C_x0008______"/>
      <sheetName val="___C_x0008___x000a____"/>
      <sheetName val="Summary from Halyk bank"/>
      <sheetName val="Interest rates"/>
      <sheetName val="IS"/>
      <sheetName val="Subscriptions"/>
      <sheetName val="Share Register"/>
      <sheetName val="Register  30.06.2008"/>
      <sheetName val="Income tax"/>
      <sheetName val="declar. on expense (PBC) 2008"/>
      <sheetName val="declar. on income (PBC) 2008"/>
      <sheetName val="80611"/>
      <sheetName val="61099"/>
      <sheetName val="80029"/>
      <sheetName val="80312"/>
      <sheetName val="80311"/>
      <sheetName val="80399"/>
      <sheetName val="80509"/>
      <sheetName val="80303"/>
      <sheetName val="80305"/>
      <sheetName val="ОС менее 10 000 "/>
      <sheetName val="Rollfwd 2007"/>
      <sheetName val="Rollfwd 2006"/>
      <sheetName val="Test of OB"/>
      <sheetName val="Additions 30.09.07"/>
      <sheetName val="Additions 3 month."/>
      <sheetName val="Disposal 31.12.07"/>
      <sheetName val="Depreciation"/>
      <sheetName val="Tickmarks (2)"/>
      <sheetName val="Испытание защ. средств"/>
      <sheetName val="Advances Paid (PBC)"/>
      <sheetName val="TB 2005"/>
      <sheetName val="База"/>
      <sheetName val="FA_Movement_Kyrg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 refreshError="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документов"/>
      <sheetName val="1"/>
      <sheetName val="1.1"/>
      <sheetName val="1.2"/>
      <sheetName val="1.3"/>
      <sheetName val="1.4"/>
      <sheetName val="2"/>
      <sheetName val="3"/>
      <sheetName val="3.1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Лист2"/>
      <sheetName val="Лист1"/>
      <sheetName val="2 прилож"/>
      <sheetName val="ЛСЦ начисленное на 31.12.08"/>
      <sheetName val="ЛЛизинг начис. на 31.12.08"/>
      <sheetName val="FA Movement Kyrg"/>
      <sheetName val="ЦентрЗатр"/>
      <sheetName val="ЕдИзм"/>
      <sheetName val="Предпр"/>
      <sheetName val="ВОЛС"/>
      <sheetName val="2.2 ОтклОТМ"/>
      <sheetName val="1.3.2 ОТМ"/>
      <sheetName val="Links"/>
      <sheetName val="Anlagevermögen"/>
      <sheetName val="P&amp;L"/>
      <sheetName val="Provisions"/>
      <sheetName val="GAAP TB 30.09.01  detail p&amp;l"/>
      <sheetName val="1NK"/>
      <sheetName val="breakdown"/>
      <sheetName val="FA depreciation"/>
      <sheetName val="Balance Sheet"/>
      <sheetName val="Форма2"/>
      <sheetName val="FA Movement "/>
      <sheetName val="depreciation testing"/>
      <sheetName val="SA Procedures"/>
      <sheetName val="MetaData"/>
      <sheetName val="Добыча нефти4"/>
      <sheetName val="$ IS"/>
      <sheetName val="2013"/>
      <sheetName val="2012"/>
      <sheetName val="2011"/>
      <sheetName val="2009"/>
      <sheetName val="GAAP TB 31.12.01  detail p&amp;l"/>
      <sheetName val="Hidden"/>
      <sheetName val="Deferred tax"/>
      <sheetName val="1-1"/>
      <sheetName val="Форма1"/>
      <sheetName val="ОТиТБ"/>
      <sheetName val="из сем"/>
      <sheetName val="Capex"/>
      <sheetName val="Собственный капитал"/>
      <sheetName val="Production_Ref Q-1-3"/>
      <sheetName val="Additions_Disposals"/>
      <sheetName val="Данные для расчета"/>
      <sheetName val="DB2002"/>
      <sheetName val="январь2020"/>
      <sheetName val="февраль2020"/>
      <sheetName val="март 2020"/>
      <sheetName val="ЛЛизинг_начис__на_31_12_08"/>
      <sheetName val="ЛСЦ_начисленное_на_31_12_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_FES"/>
      <sheetName val="Dictionaries"/>
      <sheetName val="Содержание"/>
      <sheetName val="IPR_VOG"/>
      <sheetName val="6НК-cт."/>
      <sheetName val="12 месяцев 2010"/>
      <sheetName val="Нефть"/>
      <sheetName val="КТЖ БДР"/>
      <sheetName val="Форма2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Precios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2210900-Aug"/>
      <sheetName val="4 000 000 тыс.тг"/>
      <sheetName val="15 000 000 тыс.тг"/>
      <sheetName val="ЦХЛ 2004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Доходы всего"/>
      <sheetName val="Доходы обороты"/>
      <sheetName val="ЛСЦ начисленное на 31.12.08"/>
      <sheetName val="ЛЛизинг начис. на 31.12.08"/>
      <sheetName val="ремонтТ9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Production_Ref Q-1-3"/>
      <sheetName val="Analytics"/>
      <sheetName val="касса 2015-2019 год займы 16081"/>
      <sheetName val="База"/>
      <sheetName val="FA Movement Kyrg"/>
      <sheetName val="ОТиТБ"/>
      <sheetName val="бюджет 2015 займы 200815"/>
      <sheetName val="ОРУ ДО"/>
      <sheetName val="Hidden"/>
      <sheetName val="Добыча нефти4"/>
      <sheetName val="поставка сравн13"/>
      <sheetName val="из сем"/>
      <sheetName val="Форма3.6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ФОТ"/>
      <sheetName val="свод ао"/>
      <sheetName val="депозиты"/>
      <sheetName val="Статьи"/>
      <sheetName val="Титул1"/>
      <sheetName val="2.2 ОтклОТМ"/>
      <sheetName val="1.3.2 ОТМ"/>
      <sheetName val="6НК"/>
      <sheetName val="Settings"/>
      <sheetName val="Transport overview"/>
      <sheetName val="Баланс"/>
      <sheetName val="Control"/>
      <sheetName val="B-4"/>
      <sheetName val="MAIN"/>
      <sheetName val="факт 2005 г.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Транспорт"/>
      <sheetName val="Расчет эксп бурения"/>
      <sheetName val="свод КВЛ (на печать)"/>
      <sheetName val="Данные"/>
      <sheetName val="ДР 2011"/>
      <sheetName val="себ с ув."/>
      <sheetName val="KR(СВОД)"/>
      <sheetName val="д1"/>
      <sheetName val="СИС"/>
      <sheetName val="Пр2"/>
      <sheetName val="сброс"/>
      <sheetName val="CMA TOD"/>
      <sheetName val="Б.мчас (П)"/>
      <sheetName val="1 вариант  2009 "/>
      <sheetName val="Comp"/>
      <sheetName val="К1.2"/>
      <sheetName val=""/>
      <sheetName val="Forms"/>
      <sheetName val="КВЛ новые проекты"/>
      <sheetName val="3"/>
      <sheetName val="ЭЭ"/>
      <sheetName val="Общий объем потребления "/>
      <sheetName val="объем оказ. услуг"/>
      <sheetName val="2_8 ТР_ТО_и_ПН"/>
      <sheetName val="Объемы нетто 2013 "/>
      <sheetName val="расчёт доходов"/>
      <sheetName val="#ССЫЛКА"/>
      <sheetName val="Труд"/>
      <sheetName val="ОРУ сторон"/>
      <sheetName val="ОРУ КМ"/>
      <sheetName val="КР материалы"/>
      <sheetName val="КЛ2016"/>
      <sheetName val="ТЖЖ-Аягоз2016"/>
      <sheetName val="КЛ + ТЖЖ2016"/>
      <sheetName val="ФА 9мес факт"/>
      <sheetName val="PP&amp;E mvt for 2003"/>
      <sheetName val="4.1.1"/>
      <sheetName val="7.2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_кв_"/>
      <sheetName val="2_кв_"/>
      <sheetName val="3_кв_"/>
      <sheetName val="4_кв_"/>
      <sheetName val="_год"/>
      <sheetName val="УП_33_свод_"/>
      <sheetName val="пл__и_факт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1_êâ_"/>
      <sheetName val="2_êâ_"/>
      <sheetName val="3_êâ_"/>
      <sheetName val="4_êâ_"/>
      <sheetName val="_ãîä"/>
      <sheetName val="ÓÏ_33_ñâîä_"/>
      <sheetName val="ïë__è_ôàêò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УФ1_"/>
      <sheetName val="УЗ1_"/>
      <sheetName val="Profit_&amp;_Loss_Total"/>
      <sheetName val="12_месяцев_2010"/>
      <sheetName val="КТЖ_БДР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ÓÔ1_"/>
      <sheetName val="ÓÇ1_"/>
      <sheetName val="6НК-cт_"/>
      <sheetName val="ЗАО_н_ит"/>
      <sheetName val="Сдача_"/>
      <sheetName val="Ural_med"/>
      <sheetName val="Лист1_(2)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Прил_1"/>
      <sheetName val="Прил__1_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4_000_000_тыс_тг"/>
      <sheetName val="15_000_000_тыс_тг"/>
      <sheetName val="ЦХЛ_2004"/>
      <sheetName val="Фин_обязат_"/>
      <sheetName val="Financial_ratios_А3"/>
      <sheetName val="K_300_RFD_KMG_EP"/>
      <sheetName val="ЦТУ_(касса)"/>
      <sheetName val="ЕБРР_200_млн_$_24_05_12"/>
      <sheetName val="5NK_"/>
      <sheetName val="Доходы_всего"/>
      <sheetName val="Доходы_обороты"/>
      <sheetName val="ЛСЦ_начисленное_на_31_12_08"/>
      <sheetName val="ЛЛизинг_начис__на_31_12_08"/>
      <sheetName val="Доступ_к_МЖС"/>
      <sheetName val="мать_факт_(изм_НДС)"/>
      <sheetName val="прочие_поступления"/>
      <sheetName val="кредитный_бюджет_2014"/>
      <sheetName val="прочие_выб_по_дзо"/>
      <sheetName val="инвест_разбивка"/>
      <sheetName val="оплата_БЗ_и_ОСО_для_БДДС"/>
      <sheetName val="Соц_сфера"/>
      <sheetName val="расходы_КТЖ"/>
      <sheetName val="прочие_выбытия_"/>
      <sheetName val="депозиты_2014"/>
      <sheetName val="УК_и_ФП"/>
      <sheetName val="бюджет_2013_освоение_)"/>
      <sheetName val="Production_Ref_Q-1-3"/>
      <sheetName val="касса_2015-2019_год_займы_16081"/>
      <sheetName val="FA_Movement_Kyrg"/>
      <sheetName val="бюджет_2015_займы_200815"/>
      <sheetName val="ОРУ_ДО"/>
      <sheetName val="Добыча_нефти4"/>
      <sheetName val="поставка_сравн13"/>
      <sheetName val="из_сем"/>
      <sheetName val="Форма3_6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свод_ао"/>
      <sheetName val="Transport_overview"/>
      <sheetName val="факт_2005_г_"/>
      <sheetName val="2_2_ОтклОТМ"/>
      <sheetName val="1_3_2_ОТМ"/>
      <sheetName val="ГК_лохл"/>
      <sheetName val="А_Девел"/>
      <sheetName val="А_Апш"/>
      <sheetName val="А_Кумк"/>
      <sheetName val="Экспл_КОНС"/>
      <sheetName val="А_В-П"/>
      <sheetName val="А_В-П_КОНС"/>
      <sheetName val="ЛОХЛ_СВОД"/>
      <sheetName val="А_ЛОХЛ_СВОД"/>
      <sheetName val="А_БВО"/>
      <sheetName val="Расчет_эксп_бурения"/>
      <sheetName val="свод_КВЛ_(на_печа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tion analysis"/>
      <sheetName val="Production_analysis"/>
      <sheetName val="Production_ref_Q4"/>
      <sheetName val="App-1, 901 acc_detailed_Q-4"/>
      <sheetName val="Production_Ref Q-1-3"/>
      <sheetName val="Sheet1"/>
      <sheetName val="Sheet2"/>
      <sheetName val="Sheet3"/>
      <sheetName val="Tickmarks"/>
      <sheetName val="#REF"/>
      <sheetName val="GAAP TB 31.12.01  detail p&amp;l"/>
      <sheetName val="Capex"/>
      <sheetName val="Anlagevermögen"/>
      <sheetName val="Цены"/>
      <sheetName val="2001 Detail"/>
      <sheetName val="00"/>
      <sheetName val="FES"/>
      <sheetName val="Production_Ref Q_1_3"/>
      <sheetName val="Содержание"/>
      <sheetName val="ЛСЦ начисленное на 31.12.08"/>
      <sheetName val="ЛЛизинг начис. на 31.12.08"/>
      <sheetName val="Hidden"/>
      <sheetName val="GAAP TB 30.09.01  detail p&amp;l"/>
      <sheetName val="FA Movement Kyrg"/>
      <sheetName val="Reference"/>
      <sheetName val="Форма2"/>
      <sheetName val="Cur portion of L-t loans 2006"/>
      <sheetName val="9-1"/>
      <sheetName val="4"/>
      <sheetName val="1-1"/>
      <sheetName val="1"/>
      <sheetName val="2.1 First order"/>
      <sheetName val="breakdown"/>
      <sheetName val="FA depreciation"/>
      <sheetName val="Balance Sheet"/>
      <sheetName val="$ IS"/>
      <sheetName val="Выбор"/>
      <sheetName val="AnP3-prod"/>
      <sheetName val="Index - Summary"/>
      <sheetName val="Income Statement"/>
      <sheetName val="#ССЫЛКА"/>
      <sheetName val="Собственный капитал"/>
      <sheetName val="Pbs_Wbs_ATC"/>
      <sheetName val="Список документов"/>
      <sheetName val="7"/>
      <sheetName val="10"/>
      <sheetName val="290"/>
      <sheetName val="Additions_Disposals"/>
      <sheetName val="Worksheet in 8350 Production Co"/>
      <sheetName val="ЦентрЗатр"/>
      <sheetName val="PP&amp;E mvt for 2003"/>
      <sheetName val="ЕдИзм"/>
      <sheetName val="Предпр"/>
      <sheetName val="Datasheet"/>
      <sheetName val="FA Movement "/>
      <sheetName val="depreciation testing"/>
      <sheetName val="4. NWABC"/>
      <sheetName val="Лист 1"/>
      <sheetName val="Prelim Cost"/>
      <sheetName val="AnP4-oil"/>
      <sheetName val="PYTB"/>
      <sheetName val="SMSTemp"/>
      <sheetName val="Post Frac"/>
      <sheetName val="IPR"/>
      <sheetName val="CPI"/>
      <sheetName val="Начало"/>
      <sheetName val="Non-Statistical Sampling"/>
      <sheetName val="Store"/>
      <sheetName val="InputTI"/>
      <sheetName val="name"/>
      <sheetName val="Cost 99v98"/>
      <sheetName val="Pivot"/>
      <sheetName val="July_03_Pg8"/>
      <sheetName val="coa co11"/>
      <sheetName val="база 639.0306"/>
      <sheetName val="1.3.2 ОТМ"/>
      <sheetName val="031 КТЖ  "/>
      <sheetName val="караганда"/>
      <sheetName val="Костанай"/>
      <sheetName val="Алматы"/>
      <sheetName val="шымкент"/>
      <sheetName val="актобе"/>
      <sheetName val="КВК"/>
      <sheetName val="ДВП"/>
      <sheetName val="дирекция"/>
      <sheetName val="UNITPRICES"/>
      <sheetName val="GAAP_TB_31_12_01__detail_p&amp;l"/>
    </sheetNames>
    <sheetDataSet>
      <sheetData sheetId="0" refreshError="1"/>
      <sheetData sheetId="1" refreshError="1"/>
      <sheetData sheetId="2">
        <row r="260">
          <cell r="E260">
            <v>124967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Movement Kyrg"/>
      <sheetName val="FA Movement "/>
      <sheetName val="depreciation testing"/>
      <sheetName val="GAAP TB 31.12.01  detail p&amp;l"/>
      <sheetName val="Production_Ref Q-1-3"/>
      <sheetName val="Форма2"/>
      <sheetName val="Capex"/>
      <sheetName val="Б.мчас (П)"/>
      <sheetName val="Analytics"/>
      <sheetName val="ЛСЦ начисленное на 31.12.08"/>
      <sheetName val="ЛЛизинг начис. на 31.12.08"/>
      <sheetName val="Hidden"/>
      <sheetName val="XREF"/>
      <sheetName val="Reference"/>
      <sheetName val="1"/>
      <sheetName val="Собственный капитал"/>
      <sheetName val="PP&amp;E mvt for 2003"/>
      <sheetName val="Anlagevermögen"/>
      <sheetName val="GAAP TB 30.09.01  detail p&amp;l"/>
      <sheetName val="9-1"/>
      <sheetName val="4"/>
      <sheetName val="1-1"/>
      <sheetName val="$ IS"/>
      <sheetName val="material realised"/>
      <sheetName val="breakdown"/>
      <sheetName val="FA depreciation"/>
      <sheetName val="electricity"/>
      <sheetName val="Additions testing"/>
      <sheetName val="Movement schedule"/>
      <sheetName val="ЦентрЗатр"/>
      <sheetName val="ЕдИзм"/>
      <sheetName val="Предпр"/>
      <sheetName val="Balance Sheet"/>
      <sheetName val="Additions_Dispos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250"/>
      <sheetName val="8180 (8181,8182)"/>
      <sheetName val="8140"/>
      <sheetName val="8210"/>
      <sheetName val="8030; 8221"/>
      <sheetName val="8070"/>
      <sheetName val="8200"/>
      <sheetName val="8145"/>
      <sheetName val="8113"/>
      <sheetName val="8082"/>
      <sheetName val="XREF"/>
      <sheetName val="Tickmarks"/>
      <sheetName val="Additions testing"/>
      <sheetName val="Movement schedule"/>
      <sheetName val="depreciation testing"/>
      <sheetName val="FA Movement "/>
      <sheetName val="8180 _8181_8182_"/>
      <sheetName val="Balance Sheet"/>
      <sheetName val="AHEPS"/>
      <sheetName val="OshHPP"/>
      <sheetName val="BHPP"/>
      <sheetName val="Март"/>
      <sheetName val="Сентябрь"/>
      <sheetName val="Квартал"/>
      <sheetName val="Январь"/>
      <sheetName val="Декабрь"/>
      <sheetName val="Ноябрь"/>
      <sheetName val="XLR_NoRangeSheet"/>
      <sheetName val="Апрель"/>
      <sheetName val="Июль"/>
      <sheetName val="Июнь"/>
      <sheetName val="Worksheet in (C) 8344 Administr"/>
      <sheetName val="Hidden"/>
      <sheetName val="9"/>
      <sheetName val="Summary"/>
      <sheetName val="GAAP TB 31.12.01  detail p&amp;l"/>
      <sheetName val="Capex"/>
      <sheetName val="LME_prices"/>
      <sheetName val="Production Data Input"/>
      <sheetName val="breakdown"/>
      <sheetName val="FA depreciation"/>
      <sheetName val="Форма2"/>
      <sheetName val="services.01"/>
      <sheetName val="Threshold Calc"/>
      <sheetName val="utilities.01"/>
      <sheetName val="P&amp;L"/>
      <sheetName val="Provisions"/>
      <sheetName val="Deferred tax"/>
      <sheetName val="Собственный капитал"/>
      <sheetName val="PP&amp;E mvt for 2003"/>
      <sheetName val="ВСДС_1 (MAIN)"/>
      <sheetName val="ТМЗ-6"/>
      <sheetName val="ЛСЦ начисленное на 31.12.08"/>
      <sheetName val="ЛЛизинг начис. на 31.12.08"/>
      <sheetName val="Бонды стр.341"/>
      <sheetName val="material realised"/>
      <sheetName val="electricity"/>
      <sheetName val="Список документов"/>
      <sheetName val="7"/>
      <sheetName val="10"/>
      <sheetName val="1"/>
      <sheetName val="L-1"/>
      <sheetName val="FA Movement Kyrg"/>
      <sheetName val="9-1"/>
      <sheetName val="4"/>
      <sheetName val="1-1"/>
      <sheetName val="Приложение 1 KZT"/>
      <sheetName val="Movement"/>
      <sheetName val="Курсы"/>
      <sheetName val="Target"/>
      <sheetName val="Additions_Disposals"/>
      <sheetName val="Assumptions"/>
      <sheetName val="Branches"/>
      <sheetName val="Огл. Графиков"/>
      <sheetName val="Текущие цены"/>
      <sheetName val="рабочий"/>
      <sheetName val="окраска"/>
      <sheetName val="Datasheet"/>
      <sheetName val="ЦентрЗатр"/>
      <sheetName val="Production_Ref Q-1-3"/>
      <sheetName val="ЕдИзм"/>
      <sheetName val="Предпр"/>
      <sheetName val="Anlagevermögen"/>
      <sheetName val="Drop down lists"/>
      <sheetName val="10Cash"/>
      <sheetName val="% threshhold(salary)"/>
      <sheetName val="depreciation_testing"/>
      <sheetName val="Movement_schedule"/>
      <sheetName val="Additions_testing"/>
      <sheetName val="K-400 PPE 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ial realised"/>
      <sheetName val="other exp."/>
      <sheetName val="Tickmarks"/>
      <sheetName val="electricity"/>
      <sheetName val="Threshold- electricity"/>
      <sheetName val="Threshold Table"/>
      <sheetName val="Repair of FA"/>
      <sheetName val="breakdown"/>
      <sheetName val="FA depreciation"/>
      <sheetName val="Additions testing"/>
      <sheetName val="Movement schedule"/>
      <sheetName val="depreciation testing"/>
      <sheetName val="FA Movement Kyrg"/>
      <sheetName val="Hidden"/>
      <sheetName val="FA Movement "/>
      <sheetName val="GAAP TB 31.12.01  detail p&amp;l"/>
      <sheetName val="LME_pri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P&amp;L"/>
      <sheetName val="Provisions"/>
      <sheetName val="9"/>
      <sheetName val="Balance Sheet"/>
      <sheetName val="Capex"/>
      <sheetName val="summary"/>
      <sheetName val="ЛСЦ начисленное на 31.12.08"/>
      <sheetName val="Mvnt"/>
      <sheetName val="Disclosure"/>
      <sheetName val="СписокТЭП"/>
      <sheetName val="L-1"/>
      <sheetName val="Deferred tax"/>
      <sheetName val="4"/>
      <sheetName val="1-1"/>
      <sheetName val="1"/>
      <sheetName val="Приложение 1 KZT"/>
      <sheetName val="ТМЗ-6"/>
      <sheetName val="Нефть"/>
      <sheetName val=""/>
      <sheetName val="Worksheet in 8242 Test of detai"/>
      <sheetName val="FAM Terra _ CB"/>
      <sheetName val="Movement"/>
      <sheetName val="FS"/>
      <sheetName val="Transformation table  2002"/>
      <sheetName val="Список документов"/>
      <sheetName val="7"/>
      <sheetName val="10"/>
      <sheetName val="ЛЛизинг начис. на 31.12.08"/>
      <sheetName val="GAAP TB 30.09.01  detail p&amp;l"/>
      <sheetName val="Production_Ref Q-1-3"/>
      <sheetName val="Форма2"/>
      <sheetName val="FA_depreciatio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Almatytel (2)"/>
      <sheetName val="22CASH"/>
      <sheetName val="Almatytel"/>
      <sheetName val="BANK3"/>
      <sheetName val="BANK1"/>
      <sheetName val="BANK2"/>
      <sheetName val="P&amp;L"/>
      <sheetName val="Provisions"/>
      <sheetName val="breakdown"/>
      <sheetName val="FA depreciation"/>
      <sheetName val="Макро"/>
      <sheetName val="450"/>
      <sheetName val="L-1"/>
      <sheetName val="5R"/>
      <sheetName val="Additions testing"/>
      <sheetName val="Movement schedule"/>
      <sheetName val="depreciation testing"/>
      <sheetName val="GAAP TB 30.09.01  detail p&amp;l"/>
      <sheetName val="Anlagevermögen"/>
      <sheetName val="FA Movement "/>
      <sheetName val="FA(2)"/>
      <sheetName val="Cur portion of L-t loans 2006"/>
      <sheetName val="Production_Ref Q-1-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ory custody"/>
      <sheetName val="PBC"/>
      <sheetName val="Inventory custody services"/>
      <sheetName val="Tickmarks"/>
      <sheetName val="9-1"/>
      <sheetName val="4"/>
      <sheetName val="1-1"/>
      <sheetName val="1"/>
      <sheetName val="P&amp;L"/>
      <sheetName val="Provisions"/>
      <sheetName val="Production_Ref Q-1-3"/>
      <sheetName val="Anlagevermögen"/>
      <sheetName val="7"/>
      <sheetName val="10"/>
      <sheetName val="Список документов"/>
      <sheetName val="Cur portion of L-t loans 2006"/>
      <sheetName val="breakdown"/>
      <sheetName val="FA depreciation"/>
      <sheetName val="9"/>
      <sheetName val="Additions testing"/>
      <sheetName val="Movement schedule"/>
      <sheetName val="depreciation testing"/>
      <sheetName val="Movement"/>
      <sheetName val="Analytics"/>
      <sheetName val="FA(2)"/>
      <sheetName val="GAAP TB 31.12.01  detail p&amp;l"/>
      <sheetName val="Reference"/>
      <sheetName val="Hidden"/>
      <sheetName val="Deferred tax"/>
      <sheetName val="ЛСЦ начисленное на 31.12.08"/>
      <sheetName val="ЛЛизинг начис. на 31.12.08"/>
      <sheetName val="Форма2"/>
      <sheetName val="summary"/>
      <sheetName val="XREF"/>
      <sheetName val="Собственный капитал"/>
      <sheetName val="ЦентрЗатр"/>
      <sheetName val="ЕдИзм"/>
      <sheetName val="Предпр"/>
      <sheetName val="PP&amp;E mvt for 2003"/>
      <sheetName val="Movements"/>
      <sheetName val="GAAP TB 30.09.01  detail p&amp;l"/>
      <sheetName val="FA Movement "/>
      <sheetName val="Capex"/>
      <sheetName val="FA Movement Ky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оротный"/>
      <sheetName val="Баланс"/>
      <sheetName val="Отчет о доходах и расходах"/>
      <sheetName val="Отчет о движ денег"/>
      <sheetName val="Собственный капитал"/>
      <sheetName val="Деньги"/>
      <sheetName val="Торговая дебит задол"/>
      <sheetName val="ТМЗ"/>
      <sheetName val="Прочие ТА"/>
      <sheetName val="ОС"/>
      <sheetName val="Нематер активы"/>
      <sheetName val="Дочерние организации"/>
      <sheetName val="Ассоц организации"/>
      <sheetName val="Инв-ии для продажи"/>
      <sheetName val="Прочие долгосрочные активы"/>
      <sheetName val="ТКЗ"/>
      <sheetName val="Прочие налоги"/>
      <sheetName val="Проч тек обязательства"/>
      <sheetName val="Займы"/>
      <sheetName val="Вознагр работникам"/>
      <sheetName val="Подоходн налог"/>
      <sheetName val="Собств кап"/>
      <sheetName val="Прочие доходы"/>
      <sheetName val="Материалы и услуги"/>
      <sheetName val="Затр по расч с персоналом"/>
      <sheetName val="Налоги помимо КПН "/>
      <sheetName val="Проч опер расходы"/>
      <sheetName val="Расх на фин-ие"/>
      <sheetName val="Фин и усл обяз-ва"/>
      <sheetName val="Фин инс-ты и риски"/>
      <sheetName val="Сделки со связанными сторонами"/>
      <sheetName val="Tickmarks"/>
      <sheetName val="д.7.001"/>
      <sheetName val="9-1"/>
      <sheetName val="4"/>
      <sheetName val="1-1"/>
      <sheetName val="1"/>
      <sheetName val="Capex"/>
      <sheetName val="2.2 ОтклОТМ"/>
      <sheetName val="1.3.2 ОТМ"/>
      <sheetName val="Предпр"/>
      <sheetName val="ЦентрЗатр"/>
      <sheetName val="ЕдИзм"/>
      <sheetName val="2216"/>
      <sheetName val="3-3"/>
      <sheetName val="Movement"/>
      <sheetName val="Datasheet"/>
      <sheetName val="breakdown"/>
      <sheetName val="FA depreciation"/>
      <sheetName val="P&amp;L"/>
      <sheetName val="Provisions"/>
      <sheetName val="Форма2"/>
      <sheetName val="Hidden"/>
      <sheetName val="Disclosure"/>
      <sheetName val="Cur portion of L-t loans 2006"/>
      <sheetName val="Dictionaries"/>
      <sheetName val="9"/>
      <sheetName val="7"/>
      <sheetName val="10"/>
      <sheetName val="Список документов"/>
      <sheetName val="PP&amp;E mvt for 2003"/>
      <sheetName val="Movements"/>
      <sheetName val="FA Movement "/>
      <sheetName val="Additions testing"/>
      <sheetName val="Movement schedule"/>
      <sheetName val="depreciation testing"/>
      <sheetName val="Приложение 1 KZT"/>
      <sheetName val="GAAP TB 31.12.01  detail p&amp;l"/>
      <sheetName val="FA Movement Kyrg"/>
      <sheetName val="Anlagevermögen"/>
      <sheetName val="Production_Ref Q-1-3"/>
      <sheetName val="1NK"/>
      <sheetName val="ЛСЦ начисленное на 31.12.08"/>
      <sheetName val="ЛЛизинг начис. на 31.12.08"/>
      <sheetName val="Отчет_о_доходах_и_расходах"/>
      <sheetName val="Отчет_о_движ_денег"/>
      <sheetName val="Собственный_капитал"/>
      <sheetName val="Торговая_дебит_задол"/>
      <sheetName val="Прочие_ТА"/>
      <sheetName val="Нематер_активы"/>
      <sheetName val="Дочерние_организации"/>
      <sheetName val="Ассоц_организации"/>
      <sheetName val="Инв-ии_для_продажи"/>
      <sheetName val="Прочие_долгосрочные_активы"/>
      <sheetName val="Прочие_налоги"/>
      <sheetName val="Проч_тек_обязательства"/>
      <sheetName val="Вознагр_работникам"/>
      <sheetName val="Подоходн_налог"/>
      <sheetName val="Собств_кап"/>
      <sheetName val="Прочие_доходы"/>
      <sheetName val="Материалы_и_услуги"/>
      <sheetName val="Затр_по_расч_с_персоналом"/>
      <sheetName val="Налоги_помимо_КПН_"/>
      <sheetName val="Проч_опер_расходы"/>
      <sheetName val="Расх_на_фин-ие"/>
      <sheetName val="Фин_и_усл_обяз-ва"/>
      <sheetName val="Фин_инс-ты_и_риски"/>
      <sheetName val="Сделки_со_связанными_сторонами"/>
      <sheetName val="д_7_001"/>
      <sheetName val="2_2_ОтклОТМ"/>
      <sheetName val="1_3_2_ОТМ"/>
      <sheetName val="FA_depreciation"/>
      <sheetName val="Cur_portion_of_L-t_loans_2006"/>
      <sheetName val="Список_документов"/>
      <sheetName val="PP&amp;E_mvt_for_2003"/>
      <sheetName val="FA_Movement_"/>
      <sheetName val="Additions_testing"/>
      <sheetName val="Movement_schedule"/>
      <sheetName val="depreciation_testing"/>
      <sheetName val="Приложение_1_KZT"/>
      <sheetName val="GAAP_TB_31_12_01__detail_p&amp;l"/>
      <sheetName val="FA_Movement_Kyrg"/>
      <sheetName val="Production_Ref_Q-1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Собственный капитал"/>
      <sheetName val="L-1"/>
      <sheetName val="2.2 ОтклОТМ"/>
      <sheetName val="1.3.2 ОТМ"/>
      <sheetName val="Предпр"/>
      <sheetName val="ЦентрЗатр"/>
      <sheetName val="ЕдИзм"/>
      <sheetName val="Ôîðìà2"/>
      <sheetName val="Ñîáñòâåííûé êàïèòàë"/>
      <sheetName val="Royalty"/>
      <sheetName val="Данные"/>
      <sheetName val="Transportation Services"/>
      <sheetName val="Summary"/>
      <sheetName val="Workover service"/>
      <sheetName val="Utilities Expense"/>
      <sheetName val="Test of FA Installation"/>
      <sheetName val="Additions"/>
      <sheetName val="14.1.2.2.(Услуги связи)"/>
      <sheetName val="7.1"/>
      <sheetName val="Def"/>
      <sheetName val="- 1 -"/>
      <sheetName val="ставки"/>
      <sheetName val="Inventory Count Sheet"/>
      <sheetName val="VLOOKUP"/>
      <sheetName val="INPUTMASTER"/>
      <sheetName val="Book Adjustments"/>
      <sheetName val="TB"/>
      <sheetName val="00"/>
      <sheetName val="Kas FA Movement"/>
      <sheetName val="InputTD"/>
      <sheetName val="Depr"/>
      <sheetName val="2_Loans to customers"/>
      <sheetName val="Financial ratios А3"/>
      <sheetName val="July_03_Pg8"/>
      <sheetName val="9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Содержание"/>
      <sheetName val="Capex"/>
      <sheetName val="Anlagevermögen"/>
      <sheetName val="Deferred tax"/>
      <sheetName val="Hidden"/>
      <sheetName val="Notes IS"/>
      <sheetName val="C 25"/>
      <sheetName val="2005 Social"/>
      <sheetName val="Data-in"/>
      <sheetName val="Info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консолид Нурсат"/>
      <sheetName val="breakdown"/>
      <sheetName val="FA depreciation"/>
      <sheetName val="$ IS"/>
      <sheetName val="Cur portion of L-t loans 2006"/>
      <sheetName val="IS"/>
      <sheetName val="General Assumptions"/>
      <sheetName val="MODEL500"/>
      <sheetName val="TB-KZT"/>
      <sheetName val="TB USD"/>
      <sheetName val="1НК_объемы"/>
      <sheetName val="Control"/>
      <sheetName val="Interco payables&amp;receivables"/>
      <sheetName val=""/>
      <sheetName val="BS"/>
      <sheetName val="Intercompany transactions"/>
      <sheetName val="Dept"/>
      <sheetName val="1NK"/>
      <sheetName val="Additions testing"/>
      <sheetName val="Movement schedule"/>
      <sheetName val="depreciation testing"/>
      <sheetName val="Project Detail Inputs"/>
      <sheetName val="FA Movement "/>
      <sheetName val="Managed Capacity"/>
      <sheetName val="Lookup"/>
      <sheetName val="DRILL"/>
      <sheetName val="Управление"/>
      <sheetName val="100.00"/>
      <sheetName val="FS"/>
      <sheetName val="SATIŞ LİTRE"/>
      <sheetName val="TL B.Y. DATA"/>
      <sheetName val="TL F.Y. DATA"/>
      <sheetName val="TL R.B.Y. DATA"/>
      <sheetName val="99累油"/>
      <sheetName val="LTM"/>
      <sheetName val="CREDIT STATS"/>
      <sheetName val="DropZone"/>
      <sheetName val="Analitics"/>
      <sheetName val="B 1"/>
      <sheetName val="A 100"/>
      <sheetName val="3НК"/>
      <sheetName val="Historical cost"/>
      <sheetName val="Spreadsheet # 2"/>
      <sheetName val="КРАТКИЕ СВЕДЕНИЯ"/>
      <sheetName val="ФС-75"/>
      <sheetName val="ФСМн "/>
      <sheetName val="ФХ "/>
      <sheetName val="ФХС-40 "/>
      <sheetName val="ФХС-4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Loans disclosure"/>
      <sheetName val="Movements"/>
      <sheetName val="% capitalization"/>
      <sheetName val="Cur portion of L-t loans calc"/>
      <sheetName val="Loans description"/>
      <sheetName val="Related parties"/>
      <sheetName val="Loan FX calc"/>
      <sheetName val="Sheet2"/>
      <sheetName val="Principal repayments test"/>
      <sheetName val="Principal withdrawals test"/>
      <sheetName val="Cash deposits &amp; cash curr acc's"/>
      <sheetName val="Bond withdrawals test"/>
      <sheetName val="Interest accruals"/>
      <sheetName val="Interest payable test"/>
      <sheetName val="Expected vs Actual"/>
      <sheetName val="Threshold Calc (2)"/>
      <sheetName val="Expected vs Actual (2)"/>
      <sheetName val="Transformation table"/>
      <sheetName val="Tickmarks"/>
      <sheetName val="Loans"/>
      <sheetName val="Movement"/>
      <sheetName val="Interest expense test"/>
      <sheetName val="Calculation of effective rate"/>
      <sheetName val="Calc amort discount expense"/>
      <sheetName val="Fair value"/>
      <sheetName val="Principal repayment test"/>
      <sheetName val="Expected vs Actual (3)"/>
      <sheetName val="Expected vs Actual (4)"/>
      <sheetName val="JBIC"/>
      <sheetName val="Spain"/>
      <sheetName val="54 units"/>
      <sheetName val="200 units"/>
      <sheetName val="Collaterals on loans"/>
      <sheetName val="XREF"/>
      <sheetName val="CMA testing"/>
      <sheetName val="ABN AMRO"/>
      <sheetName val="Movement (2)"/>
      <sheetName val="Collaterals on loans (2)"/>
      <sheetName val="Ex rates"/>
      <sheetName val="Собственный капитал"/>
      <sheetName val="PP&amp;E mvt for 2003"/>
      <sheetName val="Ñîáñòâåííûé êàïèòàë"/>
      <sheetName val="Capex"/>
      <sheetName val="Disclosure"/>
      <sheetName val="9-1"/>
      <sheetName val="4"/>
      <sheetName val="1-1"/>
      <sheetName val="1"/>
      <sheetName val="P&amp;L"/>
      <sheetName val="Provisions"/>
      <sheetName val="7"/>
      <sheetName val="10"/>
      <sheetName val="TOD of payments and receipts"/>
      <sheetName val="Interest recalculation"/>
      <sheetName val="Форма2"/>
      <sheetName val="из сем"/>
      <sheetName val="breakdown"/>
      <sheetName val="FA depreciation"/>
      <sheetName val="Datasheet"/>
      <sheetName val="Hidden"/>
      <sheetName val="Форма1"/>
      <sheetName val="Cur portion of L-t loans 2006"/>
      <sheetName val="Balance Sheet"/>
      <sheetName val="FA(2)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Production_Ref Q-1-3"/>
      <sheetName val="Additions testing"/>
      <sheetName val="Movement schedule"/>
      <sheetName val="depreciation testing"/>
      <sheetName val="FA Movement Kyrg"/>
      <sheetName val="FA Movement "/>
      <sheetName val="GAAP TB 31.12.01  detail p&amp;l"/>
      <sheetName val="ЦХЛ 2004"/>
      <sheetName val="2.2 ОтклОТМ"/>
      <sheetName val="1.3.2 ОТМ"/>
      <sheetName val="Предпр"/>
      <sheetName val="ЦентрЗатр"/>
      <sheetName val="ЕдИз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Table"/>
      <sheetName val="Data Sheet"/>
      <sheetName val="Tickmarks"/>
      <sheetName val="Module1"/>
      <sheetName val="Determination of Threshold"/>
      <sheetName val="Analysis"/>
      <sheetName val="Datasheet"/>
      <sheetName val="Movements"/>
      <sheetName val="Anlagevermögen"/>
      <sheetName val="Собственный капитал"/>
      <sheetName val="9-1"/>
      <sheetName val="4"/>
      <sheetName val="1-1"/>
      <sheetName val="1"/>
      <sheetName val="SMSTemp"/>
      <sheetName val="Dictionaries"/>
      <sheetName val="Securities"/>
      <sheetName val="std tabel"/>
      <sheetName val="P&amp;L"/>
      <sheetName val="Provisions"/>
      <sheetName val="PP&amp;E mvt for 2003"/>
      <sheetName val="Форма2"/>
      <sheetName val="breakdown"/>
      <sheetName val="FA depreciation"/>
      <sheetName val="Sheet1"/>
      <sheetName val="ВСДС_1 (MAIN)"/>
      <sheetName val="Hidden"/>
      <sheetName val="Б.мчас (П)"/>
      <sheetName val="summary"/>
      <sheetName val="XREF"/>
      <sheetName val="CMA Calculations- R Factor"/>
      <sheetName val="CMA Calculations- Figure 5440.1"/>
      <sheetName val="д.7.001"/>
      <sheetName val="ЦентрЗатр"/>
      <sheetName val="Disclosure"/>
      <sheetName val="FA Movement Kyrg"/>
      <sheetName val="ЛСЦ начисленное на 31.12.08"/>
      <sheetName val="ЛЛизинг начис. на 31.12.08"/>
      <sheetName val="GAAP TB 31.12.01  detail p&amp;l"/>
      <sheetName val="setup"/>
      <sheetName val="Cover Sheet"/>
      <sheetName val="Movement schedule"/>
      <sheetName val="Additions testing"/>
      <sheetName val="FA Movement "/>
      <sheetName val="depreciation testing"/>
      <sheetName val="WORKSHEET"/>
      <sheetName val="F-2.1"/>
      <sheetName val="Controls"/>
      <sheetName val="Debt Profile"/>
      <sheetName val="Movemen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Prepayments"/>
      <sheetName val="AR Analysis"/>
      <sheetName val="Advances Received"/>
      <sheetName val="Accounts payable"/>
      <sheetName val="Refining"/>
      <sheetName val="G&amp;A Analysis"/>
      <sheetName val="Selling Exp"/>
      <sheetName val=" GAAP Summary"/>
      <sheetName val="GAAP TB 31.12.01  detail p&amp;l"/>
      <sheetName val="Balance Sheet"/>
      <sheetName val="Datasheet"/>
      <sheetName val="9-1"/>
      <sheetName val="4"/>
      <sheetName val="1-1"/>
      <sheetName val="1"/>
      <sheetName val="Hidden"/>
      <sheetName val="ВСДС_1 (MAIN)"/>
      <sheetName val="calc"/>
      <sheetName val="Movements"/>
      <sheetName val="depreciation testing"/>
      <sheetName val="Собственный капитал"/>
      <sheetName val="PP&amp;E mvt for 2003"/>
      <sheetName val="P&amp;L"/>
      <sheetName val="Provisions"/>
      <sheetName val="3rd parties Sales"/>
      <sheetName val="summary"/>
      <sheetName val="ТМЗ-6"/>
      <sheetName val="Б.мчас (П)"/>
      <sheetName val="Форма2"/>
      <sheetName val="Movement"/>
      <sheetName val="Mvnt"/>
      <sheetName val="XREF"/>
      <sheetName val="Disclosure"/>
      <sheetName val="Курсы"/>
      <sheetName val="Титул"/>
      <sheetName val="Форма1"/>
      <sheetName val="Deferred tax"/>
      <sheetName val="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rade receivables 1401"/>
      <sheetName val="1530"/>
      <sheetName val="1531"/>
      <sheetName val="1570"/>
      <sheetName val="1450"/>
      <sheetName val="XREF"/>
      <sheetName val="Tickmark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Cust acc 2003"/>
      <sheetName val="Март"/>
      <sheetName val="Сентябрь"/>
      <sheetName val="Квартал"/>
      <sheetName val="Январь"/>
      <sheetName val="Декабрь"/>
      <sheetName val="Ноябрь"/>
      <sheetName val="2006 2Day Tel"/>
      <sheetName val="Бонды стр.341"/>
      <sheetName val="Head Count Planning"/>
      <sheetName val="Hidden"/>
      <sheetName val="ТМЗ-6"/>
      <sheetName val="Datasheet"/>
      <sheetName val="Movements"/>
      <sheetName val="Mvnt"/>
      <sheetName val="Disclosure"/>
      <sheetName val="Movement"/>
      <sheetName val="Апрель"/>
      <sheetName val="Июль"/>
      <sheetName val="Июнь"/>
      <sheetName val="DD Reserve calculation"/>
      <sheetName val="ВСДС_1 (MAIN)"/>
      <sheetName val="Форма2"/>
      <sheetName val="Форма1"/>
      <sheetName val="Additions testing"/>
      <sheetName val="Movement schedule"/>
      <sheetName val="depreciation testing"/>
      <sheetName val="Б.мчас (П)"/>
      <sheetName val="7"/>
      <sheetName val="10"/>
      <sheetName val="1"/>
      <sheetName val="Список документов"/>
      <sheetName val="База"/>
      <sheetName val="Analytics"/>
      <sheetName val="AHEPS"/>
      <sheetName val="OshHPP"/>
      <sheetName val="BHPP"/>
      <sheetName val="PP&amp;E mvt for 2003"/>
      <sheetName val="Собственный капитал"/>
      <sheetName val="9-1"/>
      <sheetName val="4"/>
      <sheetName val="1-1"/>
      <sheetName val="Макро"/>
      <sheetName val="calc"/>
      <sheetName val="FA movement shedule"/>
      <sheetName val="GAAP TB 31.12.01  detail p&amp;l"/>
      <sheetName val="P&amp;L"/>
      <sheetName val="Provisions"/>
      <sheetName val="breakdown"/>
      <sheetName val="ATI"/>
      <sheetName val="Target"/>
      <sheetName val="Basic Info"/>
      <sheetName val="FA Movement "/>
      <sheetName val="Курсы"/>
      <sheetName val="Data USA Adj US$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GOC - Global"/>
      <sheetName val="Ispol. Dir."/>
      <sheetName val="CDU"/>
      <sheetName val="Sever MES"/>
      <sheetName val="Akmola MES"/>
      <sheetName val="Center MES"/>
      <sheetName val="Sarbai MES"/>
      <sheetName val="Shymkent MES"/>
      <sheetName val="Zapad MES"/>
      <sheetName val="Astana"/>
      <sheetName val="Almaty MES"/>
      <sheetName val="Aktyube MES"/>
      <sheetName val="Vostok MES"/>
      <sheetName val="XREF"/>
      <sheetName val="Tickmarks"/>
      <sheetName val="summary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trade receivables 1401"/>
      <sheetName val="1530"/>
      <sheetName val="1450"/>
      <sheetName val="1531"/>
      <sheetName val="Movements"/>
      <sheetName val="Balance Sheet"/>
      <sheetName val="Собственный капитал"/>
      <sheetName val="Mvnt"/>
      <sheetName val="Disclosure"/>
      <sheetName val="Бонды стр.341"/>
      <sheetName val="Datasheet"/>
      <sheetName val="ТМЗ-6"/>
      <sheetName val="Hidden"/>
      <sheetName val="Movement"/>
      <sheetName val="PP&amp;E mvt for 2003"/>
      <sheetName val="Форма2"/>
      <sheetName val="4"/>
      <sheetName val="1-1"/>
      <sheetName val="1"/>
      <sheetName val="Б.мчас (П)"/>
      <sheetName val="7"/>
      <sheetName val="10"/>
      <sheetName val="Список документов"/>
      <sheetName val="ВСДС_1 (MAIN)"/>
      <sheetName val="GAAP TB 30.09.01  detail p&amp;l"/>
      <sheetName val="rollforward"/>
      <sheetName val="GAAP TB 31.12.01  detail p&amp;l"/>
      <sheetName val="FA Movement "/>
      <sheetName val="depreciation testing"/>
      <sheetName val="breakdown"/>
      <sheetName val="FA depreciation"/>
      <sheetName val="9-1"/>
      <sheetName val="P&amp;L"/>
      <sheetName val="Provision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Movement "/>
      <sheetName val="Breakdowns "/>
      <sheetName val="Dep-ion"/>
      <sheetName val="depreciation testing"/>
      <sheetName val="XREF"/>
      <sheetName val="Tickmarks"/>
      <sheetName val="M-100"/>
      <sheetName val="summary"/>
      <sheetName val="GAAP TB 31.12.01  detail p&amp;l"/>
      <sheetName val="FS"/>
      <sheetName val="Transformation table  2002"/>
      <sheetName val="Hidde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Movements"/>
      <sheetName val="ТМЗ-6"/>
      <sheetName val="10Cash"/>
      <sheetName val="GH_612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B 1"/>
      <sheetName val="A 100"/>
      <sheetName val="% threshhold(salary)"/>
      <sheetName val="Breakdown of guarantees"/>
      <sheetName val="Статьи"/>
      <sheetName val="Capex"/>
      <sheetName val="П_макросы"/>
      <sheetName val="База"/>
      <sheetName val="material realised"/>
      <sheetName val="breakdown"/>
      <sheetName val="FA depreciation"/>
      <sheetName val="electricity"/>
      <sheetName val="Balance Sheet"/>
      <sheetName val="Mvnt"/>
      <sheetName val="Disclosure"/>
      <sheetName val="Форма2"/>
      <sheetName val="Форма1"/>
      <sheetName val="FA Movement Kyrg"/>
      <sheetName val="4"/>
      <sheetName val="1-1"/>
      <sheetName val="1"/>
      <sheetName val="Собственный капитал"/>
      <sheetName val="PP&amp;E mvt for 2003"/>
      <sheetName val="Rollforward"/>
      <sheetName val="Б.мчас (П)"/>
      <sheetName val="Intercompany transactions"/>
      <sheetName val="Additions testing"/>
      <sheetName val="Movement schedule"/>
      <sheetName val="Бонды стр.341"/>
      <sheetName val="Datasheet"/>
      <sheetName val=""/>
      <sheetName val="P&amp;L"/>
      <sheetName val="Provisions"/>
      <sheetName val="9-1"/>
      <sheetName val="KGC Operations Costs"/>
      <sheetName val="д.7.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Movements"/>
      <sheetName val="Б.мчас (П)"/>
      <sheetName val="ЯНВАРЬ"/>
      <sheetName val="АПК реформа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из сем"/>
      <sheetName val="свод"/>
      <sheetName val="calc"/>
      <sheetName val="PP&amp;E mvt for 2003"/>
      <sheetName val="2008 ГСМ"/>
      <sheetName val="Плата за загрязнение "/>
      <sheetName val="Типограф"/>
      <sheetName val="IS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поставка сравн13"/>
      <sheetName val="summary"/>
      <sheetName val="канц"/>
      <sheetName val="Datasheet"/>
      <sheetName val="1 вариант  2009 "/>
      <sheetName val="Список документов"/>
      <sheetName val="GAAP TB 30.09.01  detail p&amp;l"/>
      <sheetName val="Лист2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Макро"/>
      <sheetName val="Содержание"/>
      <sheetName val="Собственный капитал"/>
      <sheetName val="Гр5(о)"/>
      <sheetName val="$ IS"/>
      <sheetName val="7"/>
      <sheetName val="10"/>
      <sheetName val="1"/>
      <sheetName val="ЕдИзм"/>
      <sheetName val="Предпр"/>
      <sheetName val="УПРАВЛЕНИЕ11"/>
      <sheetName val="Disclosure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#ССЫЛКА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Служебный ФКРБ"/>
      <sheetName val="Источник финансирования"/>
      <sheetName val="Способ закупки"/>
      <sheetName val="Тип пункта плана"/>
      <sheetName val="ОборБалФормОтч"/>
      <sheetName val="ТитулЛистОтч"/>
      <sheetName val="Graph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4"/>
      <sheetName val="Movement"/>
      <sheetName val="прил№10"/>
      <sheetName val="1 (2)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Бюджет тек. затрат"/>
      <sheetName val="Cashflow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Спр. раб.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FA Movement "/>
      <sheetName val="depreciation testing"/>
      <sheetName val="доп.дан."/>
      <sheetName val="K-800 Imp. test"/>
      <sheetName val="FA register"/>
      <sheetName val="коммун."/>
      <sheetName val="Loaded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Input_Assumptions"/>
      <sheetName val="Служебный ФК_x0005__x0000_"/>
      <sheetName val="Securities"/>
      <sheetName val="ГМ "/>
      <sheetName val="Технический"/>
      <sheetName val="6НК簀⽕쐀⽕"/>
      <sheetName val="6НКԯ_x0000_缀_x0000_"/>
      <sheetName val="Служебный ФК_x0000__x0000_"/>
      <sheetName val="6НК_x0007__x001c_ _x000d_"/>
      <sheetName val="_x0000__x000e__x0000__x000a__x0000__x0008__x0000__x000a__x0000__x000b__x0000__x0010__x0000__x0007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полугодие"/>
      <sheetName val="Вып.П.П."/>
      <sheetName val="кварталы"/>
      <sheetName val="план"/>
      <sheetName val="Россия-экспорт"/>
      <sheetName val="6НК_x0007__x001c__x0009__x000d_"/>
      <sheetName val="План_произв-в_x0006__x000c__x0007__x000f__x0010__x0011__x0007__x0007_贰΢ǅ_x0000_Ā_x0000__x0000_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峔(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『"/>
      <sheetName val="FA_Movement_"/>
      <sheetName val="depreciation_testing"/>
      <sheetName val="доп_дан_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_xd800_¹"/>
      <sheetName val="Исх"/>
      <sheetName val="КР з.ч"/>
      <sheetName val="breakdown"/>
      <sheetName val="FA depreciation"/>
      <sheetName val="Конс "/>
      <sheetName val="исп.см."/>
      <sheetName val="L&amp;E"/>
      <sheetName val="Cash flows - PBC"/>
      <sheetName val="План_произв-в_x0006__x000c__x0007__x000f__x0010__x0011__x0007__x0007_贰΢ǅ"/>
      <sheetName val="Индексы перероценки"/>
      <sheetName val="бартер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АТО"/>
      <sheetName val="CURCURS"/>
      <sheetName val="6НК퐀ᵝഀ놃"/>
      <sheetName val=" По скв"/>
      <sheetName val="Программа(М)"/>
      <sheetName val="[form.xls]6НК/_x0000__xd800_¹"/>
      <sheetName val="6НК≟ഀﲃ"/>
      <sheetName val="6НК/_x0000_렀£"/>
      <sheetName val="6НК/_x0000_�¹"/>
      <sheetName val="[form.xls][form.xls]6НК/_x0000__xd800_¹"/>
      <sheetName val="[form.xls]6НК/_x0000_렀£"/>
      <sheetName val="14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P&amp;L"/>
      <sheetName val="Provisions"/>
      <sheetName val="Profiles"/>
      <sheetName val="Wells"/>
      <sheetName val="InputTI"/>
      <sheetName val="153541"/>
      <sheetName val="CD-실적"/>
      <sheetName val="Additions_Disposals"/>
      <sheetName val="без НДС"/>
      <sheetName val="Актив(1)"/>
      <sheetName val="Служебный ФК?_x001f_"/>
      <sheetName val="Служебный ФК?_x0012_"/>
      <sheetName val="6НК/"/>
      <sheetName val="[form.xls]6НК/"/>
      <sheetName val="[form.xls][form.xls]6НК/"/>
      <sheetName val="Comp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из_сем5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обственный_капитал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2_2_ОтклОТМ4"/>
      <sheetName val="1_3_2_ОТМ4"/>
      <sheetName val="Cost_99v982"/>
      <sheetName val="cant_sim2"/>
      <sheetName val="фот_пп2000разбивка2"/>
      <sheetName val="I__Прогноз_доходов2"/>
      <sheetName val="Production_Ref_Q-1-32"/>
      <sheetName val="Financial_ratios_А32"/>
      <sheetName val="2_2_ОтклОТМ5"/>
      <sheetName val="1_3_2_ОТМ5"/>
      <sheetName val="U2_775_-_COGS_comparison_per_s2"/>
      <sheetName val="ЗАО_н_ит2"/>
      <sheetName val="FA_Movement_Kyrg1"/>
      <sheetName val="Non-Statistical_Sampling_Maste2"/>
      <sheetName val="Global_Data2"/>
      <sheetName val="US_Dollar_20035"/>
      <sheetName val="SDR_20035"/>
      <sheetName val="Control_Settings2"/>
      <sheetName val="GTM_BK2"/>
      <sheetName val="Consolidator_Inputs2"/>
      <sheetName val="7_1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H3_100_Rollforward2"/>
      <sheetName val="SA_Procedures1"/>
      <sheetName val="Пр_412"/>
      <sheetName val="ввод-вывод_ОС_авг2004-_20051"/>
      <sheetName val="1_(2)2"/>
      <sheetName val="O_500_Property_Tax2"/>
      <sheetName val="форма_3_смета_затрат2"/>
      <sheetName val="Бюджет_тек__затрат2"/>
      <sheetName val="Спр__раб_2"/>
      <sheetName val="Russia_Print_Version2"/>
      <sheetName val="2кв_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I_KEY_INFORMATION2"/>
      <sheetName val="почтов_2"/>
      <sheetName val="6НК-cт_2"/>
      <sheetName val="Interco_payables&amp;receivables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FA_Movement_1"/>
      <sheetName val="depreciation_testing1"/>
      <sheetName val="доп_дан_1"/>
      <sheetName val="ГМ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ноябрь_-_декабрь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Залоги c RS"/>
      <sheetName val="БРК УЖ"/>
      <sheetName val="БРК ЮКО свод"/>
      <sheetName val="Сбер 1450"/>
      <sheetName val="Сбер 1300"/>
      <sheetName val="Сбер 2500"/>
      <sheetName val="Сбер 3750"/>
      <sheetName val="Служебный ФК悤_x001d_"/>
      <sheetName val="[form.xls]6НК/_x0000_�¹"/>
      <sheetName val="[form.xls][form.xls]6НК/_x0000_�¹"/>
      <sheetName val="6НК吀ᥢഀ榃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-расчет_налогов_от_ФОТ__на_2011"/>
      <sheetName val="Форма3_6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[form.xls][form.xls]6НК/_x0000_렀£"/>
      <sheetName val="Project Detail Inputs"/>
      <sheetName val="ВСДС_1 (MAIN)"/>
      <sheetName val="6НК쌊 /_x0000_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6НК/_x0000_ó"/>
      <sheetName val="VI REVENUE OOD"/>
      <sheetName val="IIb P&amp;L short"/>
      <sheetName val="IV REVENUE ROOMS"/>
      <sheetName val="IV REVENUE  F&amp;B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/>
      <sheetData sheetId="1002" refreshError="1"/>
      <sheetData sheetId="1003" refreshError="1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/>
      <sheetData sheetId="1034"/>
      <sheetData sheetId="1035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 refreshError="1"/>
      <sheetData sheetId="1077" refreshError="1"/>
      <sheetData sheetId="1078"/>
      <sheetData sheetId="1079"/>
      <sheetData sheetId="1080"/>
      <sheetData sheetId="1081"/>
      <sheetData sheetId="108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"/>
      <sheetName val="Форма2"/>
      <sheetName val="XREF"/>
      <sheetName val="поставка сравн13"/>
      <sheetName val="DWR_PRG"/>
      <sheetName val="FS-97"/>
      <sheetName val="МО 0012"/>
      <sheetName val="СписокТЭП"/>
      <sheetName val="A4.100"/>
      <sheetName val="авансы выданные-1"/>
      <sheetName val="Деб-1"/>
      <sheetName val="#REF"/>
      <sheetName val="yO302.1"/>
      <sheetName val="ОТЧЕТ КТЖ 01.01.09"/>
      <sheetName val="ввод-вывод ОС авг2004- 2005"/>
      <sheetName val="L-1"/>
      <sheetName val="Б.мчас (П)"/>
      <sheetName val="Нефть"/>
      <sheetName val="Макро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P&amp;L"/>
      <sheetName val="Provisions"/>
      <sheetName val="Movements"/>
      <sheetName val="Форма1"/>
      <sheetName val="сброс"/>
      <sheetName val="2.1.11консул _ инф"/>
      <sheetName val="breakdown"/>
      <sheetName val="FA depreciation"/>
      <sheetName val="FES"/>
      <sheetName val="д.7.001"/>
      <sheetName val="ТМЗ-6"/>
      <sheetName val="ЯНВАРЬ"/>
      <sheetName val="Datasheet"/>
      <sheetName val="#ССЫЛКА"/>
      <sheetName val="PP&amp;E mvt for 2003"/>
      <sheetName val="ОТиТБ"/>
      <sheetName val="I. Прогноз доходов"/>
      <sheetName val="Balance Sheet"/>
      <sheetName val="Лист2"/>
      <sheetName val="Anlagevermögen"/>
      <sheetName val="Технический"/>
      <sheetName val="кап_затраты"/>
      <sheetName val="ИзменяемыеДанные"/>
      <sheetName val="1 класс"/>
      <sheetName val="2 класс"/>
      <sheetName val="3 класс"/>
      <sheetName val="4 класс"/>
      <sheetName val="5 класс"/>
      <sheetName val="предприятия"/>
      <sheetName val="9-1"/>
      <sheetName val="4"/>
      <sheetName val="1-1"/>
      <sheetName val="1"/>
      <sheetName val="поставка_сравн13"/>
      <sheetName val="МО_0012"/>
      <sheetName val="A4_100"/>
      <sheetName val="авансы_выданные-1"/>
      <sheetName val="yO302_1"/>
      <sheetName val="ввод-вывод_ОС_авг2004-_2005"/>
      <sheetName val="ОТЧЕТ_КТЖ_01_01_09"/>
      <sheetName val="Б_мчас_(П)"/>
      <sheetName val="2_1_11консул___инф"/>
      <sheetName val="FA_depreciation"/>
      <sheetName val="д_7_001"/>
      <sheetName val="8180_(8181,8182)"/>
      <sheetName val="Balance_Sheet"/>
      <sheetName val="PP&amp;E_mvt_for_2003"/>
      <sheetName val="I__Прогноз_доходов"/>
      <sheetName val="1_класс"/>
      <sheetName val="2_класс"/>
      <sheetName val="3_класс"/>
      <sheetName val="4_класс"/>
      <sheetName val="5_клас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PP&amp;E mvt for 2003"/>
      <sheetName val="ЦентрЗатр"/>
      <sheetName val="ЕдИзм"/>
      <sheetName val="Предпр"/>
      <sheetName val="Capex"/>
      <sheetName val="Собственный капитал"/>
      <sheetName val="Б.мчас (П)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Anlagevermögen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Добыча нефти4"/>
      <sheetName val="поставка сравн13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Налоги"/>
      <sheetName val="calc"/>
      <sheetName val="Graph"/>
      <sheetName val="ввод-вывод ОС авг2004- 2005"/>
      <sheetName val="Kolommen_balans"/>
      <sheetName val="SA Procedures"/>
      <sheetName val="Пр 41"/>
      <sheetName val="5R"/>
      <sheetName val="Production_ref_Q4"/>
      <sheetName val="Sales-COS"/>
      <sheetName val="U2 775 - COGS comparison per su"/>
      <sheetName val="Analytics"/>
      <sheetName val="FA Movement Kyrg"/>
      <sheetName val="Reference"/>
      <sheetName val="Список документов"/>
      <sheetName val="перевозки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д.7.001"/>
      <sheetName val="-расчет налогов от ФОТ  на 2014"/>
      <sheetName val="Pbs_Wbs_ATC"/>
      <sheetName val="Non-Statistical Sampling Master"/>
      <sheetName val="Global Data"/>
      <sheetName val="SMSTemp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канц"/>
      <sheetName val="Datasheet"/>
      <sheetName val="1 вариант  2009 "/>
      <sheetName val="ОборБалФормОтч"/>
      <sheetName val="ТитулЛистОтч"/>
      <sheetName val="Форма3.6"/>
      <sheetName val="$ IS"/>
      <sheetName val="7"/>
      <sheetName val="10"/>
      <sheetName val="ОТиТБ"/>
      <sheetName val="misc"/>
      <sheetName val="Макро"/>
      <sheetName val="Лист2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Содержание"/>
      <sheetName val="Гр5(о)"/>
      <sheetName val="MetaData"/>
      <sheetName val="P&amp;L"/>
      <sheetName val="Pro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Преискурант"/>
      <sheetName val="7.1"/>
      <sheetName val="ЦентрЗатр"/>
      <sheetName val="из сем"/>
      <sheetName val="FES"/>
      <sheetName val="6НК-cт."/>
      <sheetName val="ЕдИзм"/>
      <sheetName val="База"/>
      <sheetName val="Hidden"/>
      <sheetName val="ОТиТБ"/>
      <sheetName val="Пр2"/>
      <sheetName val="ДС МЗК"/>
      <sheetName val="Титул1"/>
      <sheetName val="PP&amp;E mvt for 2003"/>
      <sheetName val="definitions"/>
      <sheetName val="101"/>
      <sheetName val="Sheet1"/>
      <sheetName val="ТМЗ-6"/>
      <sheetName val="данные"/>
      <sheetName val="Flash Report SDC(EUR)"/>
      <sheetName val="1BO"/>
      <sheetName val="Info"/>
      <sheetName val="Предпр"/>
      <sheetName val="form_электрон"/>
      <sheetName val="6 NK"/>
      <sheetName val="Control"/>
      <sheetName val="ОТЧЕТ КТЖ 01.01.09"/>
      <sheetName val="XREF"/>
      <sheetName val="Б.мчас (П)"/>
      <sheetName val="Собственный капитал"/>
      <sheetName val="Movements"/>
      <sheetName val="СписокТЭП"/>
      <sheetName val="L-1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summary"/>
      <sheetName val="8210"/>
      <sheetName val="Добыча_нефти4"/>
      <sheetName val="поставка_сравн13"/>
      <sheetName val="7_1"/>
      <sheetName val="из_сем"/>
      <sheetName val="6НК-cт_"/>
      <sheetName val="ДС_МЗК"/>
      <sheetName val="PP&amp;E_mvt_for_2003"/>
      <sheetName val="Flash_Report_SDC(EUR)"/>
      <sheetName val="6_NK"/>
      <sheetName val="ОТЧЕТ_КТЖ_01_01_09"/>
      <sheetName val="Б_мчас_(П)"/>
      <sheetName val="Собственный_капитал"/>
      <sheetName val="Лист2"/>
      <sheetName val="sheet0"/>
      <sheetName val="I KEY INFORMATION"/>
      <sheetName val="LME_prices"/>
    </sheetNames>
    <sheetDataSet>
      <sheetData sheetId="0" refreshError="1"/>
      <sheetData sheetId="1" refreshError="1">
        <row r="22">
          <cell r="C22" t="str">
            <v/>
          </cell>
        </row>
      </sheetData>
      <sheetData sheetId="2" refreshError="1">
        <row r="22">
          <cell r="C22" t="str">
            <v/>
          </cell>
        </row>
        <row r="56">
          <cell r="C56" t="str">
            <v/>
          </cell>
        </row>
        <row r="61">
          <cell r="C61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9">
          <cell r="C79" t="str">
            <v/>
          </cell>
        </row>
        <row r="80">
          <cell r="C80" t="str">
            <v/>
          </cell>
        </row>
        <row r="81">
          <cell r="C81" t="str">
            <v/>
          </cell>
        </row>
        <row r="82">
          <cell r="C82" t="str">
            <v/>
          </cell>
        </row>
        <row r="84">
          <cell r="C84" t="str">
            <v/>
          </cell>
        </row>
        <row r="85">
          <cell r="C85" t="str">
            <v/>
          </cell>
        </row>
        <row r="86">
          <cell r="C86" t="str">
            <v/>
          </cell>
        </row>
        <row r="88">
          <cell r="C88" t="str">
            <v/>
          </cell>
        </row>
        <row r="89">
          <cell r="C89" t="str">
            <v/>
          </cell>
        </row>
        <row r="92">
          <cell r="C92" t="str">
            <v/>
          </cell>
        </row>
        <row r="93">
          <cell r="C93" t="str">
            <v/>
          </cell>
        </row>
        <row r="94">
          <cell r="C94" t="str">
            <v/>
          </cell>
        </row>
        <row r="95">
          <cell r="C95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2">
          <cell r="C102" t="str">
            <v/>
          </cell>
        </row>
        <row r="103">
          <cell r="C103" t="str">
            <v/>
          </cell>
        </row>
        <row r="104">
          <cell r="C104" t="str">
            <v/>
          </cell>
        </row>
        <row r="106">
          <cell r="C106" t="str">
            <v/>
          </cell>
        </row>
        <row r="107">
          <cell r="C107" t="str">
            <v/>
          </cell>
        </row>
        <row r="113">
          <cell r="C113" t="str">
            <v/>
          </cell>
        </row>
        <row r="114">
          <cell r="C114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12НК"/>
      <sheetName val="Преискурант"/>
      <sheetName val="Hidden"/>
      <sheetName val="из сем"/>
      <sheetName val="Б.мчас (П)"/>
      <sheetName val="д.7.001"/>
      <sheetName val="list"/>
      <sheetName val="Пр2"/>
      <sheetName val="Плата за загрязнение "/>
      <sheetName val="Типограф"/>
      <sheetName val="2008 ГСМ"/>
      <sheetName val="FES"/>
      <sheetName val="Спр_ пласт"/>
      <sheetName val="Спр_ мест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производство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ДС МЗК"/>
      <sheetName val="Гр5(о)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summary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Mvmnt (consolidated)"/>
      <sheetName val="Mvmnt CIP"/>
      <sheetName val="АПК реформа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"/>
      <sheetName val="Lay-off provision"/>
      <sheetName val="клиенты на 30_09(перв_источник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из сем"/>
      <sheetName val="База"/>
      <sheetName val="Anlagevermögen"/>
      <sheetName val="1 вариант  2009 "/>
      <sheetName val="Добыча нефти4"/>
      <sheetName val="поставка сравн13"/>
      <sheetName val="1"/>
      <sheetName val="Список документов"/>
      <sheetName val="Cash Flow - CY Workings"/>
      <sheetName val="Bonds"/>
      <sheetName val="FES"/>
      <sheetName val="ДС МЗК"/>
      <sheetName val="Собственный капитал"/>
      <sheetName val="7"/>
      <sheetName val="10"/>
      <sheetName val="d_pok"/>
      <sheetName val="13,40 Авансы_получ"/>
      <sheetName val="июль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производство"/>
      <sheetName val="матер"/>
      <sheetName val="Read me first"/>
      <sheetName val="Титул1"/>
      <sheetName val="ЯНВАРЬ"/>
      <sheetName val="#ССЫЛКА"/>
      <sheetName val="ЦентрЗатр"/>
      <sheetName val="ЕдИзм"/>
      <sheetName val="Предпр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д_7_001"/>
      <sheetName val="из_сем"/>
      <sheetName val="1_вариант__2009_"/>
      <sheetName val="Добыча_нефти4"/>
      <sheetName val="поставка_сравн13"/>
      <sheetName val="Список_документов"/>
      <sheetName val="ДС_МЗК"/>
      <sheetName val="Собственный_капитал"/>
      <sheetName val="Скорректир_РД_месяц_на_20_CF_Ca"/>
      <sheetName val="HKM_RTC_Crude_costs"/>
      <sheetName val="Read_me_fir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Форма1"/>
      <sheetName val="Financial ratios А3"/>
      <sheetName val="группа"/>
      <sheetName val="Пр2"/>
      <sheetName val="факт 2005 г."/>
      <sheetName val="balans 3"/>
      <sheetName val="З"/>
      <sheetName val="Ден потоки"/>
      <sheetName val="00"/>
      <sheetName val="Лист1"/>
      <sheetName val="1.411.1"/>
      <sheetName val="ОТиТБ"/>
      <sheetName val="Hidden"/>
      <sheetName val="Haul cons"/>
      <sheetName val="Распределение прибыли"/>
      <sheetName val="ДС МЗК"/>
      <sheetName val="Текущие цены"/>
      <sheetName val="рабочий"/>
      <sheetName val="окраска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ремонт 25"/>
      <sheetName val="ФС-75"/>
      <sheetName val="ФСМн "/>
      <sheetName val="ФХ "/>
      <sheetName val="ФХС-40 "/>
      <sheetName val="ФХС-48 "/>
      <sheetName val="ОХР"/>
      <sheetName val="Info"/>
      <sheetName val="всп"/>
      <sheetName val="ДБСП_02_ 2002"/>
      <sheetName val="свод2010г по гр."/>
      <sheetName val="по 2007 году план на 2008 год"/>
      <sheetName val="Sheet1"/>
      <sheetName val="#ССЫЛКА"/>
      <sheetName val="Январь"/>
      <sheetName val="Movements"/>
      <sheetName val="UNITPRICES"/>
      <sheetName val="Счет-ф"/>
      <sheetName val="Sheet3"/>
      <sheetName val="Sheet4"/>
      <sheetName val="1БО"/>
      <sheetName val="EVA"/>
      <sheetName val="коэфф"/>
      <sheetName val="2БК"/>
      <sheetName val="3БО"/>
      <sheetName val="Свод"/>
      <sheetName val="Исход"/>
      <sheetName val="3БК"/>
      <sheetName val="5П"/>
      <sheetName val="4П"/>
      <sheetName val="WACC"/>
      <sheetName val="д.7.001"/>
      <sheetName val="3БК Инвестиции"/>
      <sheetName val="янв"/>
      <sheetName val="Сдача "/>
      <sheetName val="Статьи затрат"/>
      <sheetName val="14.1.2.2.(Услуги связи)"/>
      <sheetName val="Ф3"/>
      <sheetName val="Income $"/>
      <sheetName val="3.ФОТ"/>
      <sheetName val="Лист2"/>
      <sheetName val="Бюдж-тенге"/>
      <sheetName val="Книга1"/>
      <sheetName val="5NK "/>
      <sheetName val="ЕдИзм"/>
      <sheetName val="план07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s"/>
      <sheetName val="PP&amp;E mvt for 2003"/>
      <sheetName val="аренда"/>
      <sheetName val="Справочник"/>
      <sheetName val="Баланс"/>
      <sheetName val="Лист1 (3)"/>
      <sheetName val="на 31.12.07 (4)"/>
      <sheetName val="CIP Dec 2006"/>
      <sheetName val="7.1"/>
      <sheetName val="КлассификаторЗнач"/>
      <sheetName val="База"/>
      <sheetName val="Main Page"/>
      <sheetName val="L-1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1610"/>
      <sheetName val="1210"/>
      <sheetName val="TB"/>
      <sheetName val="PR CN"/>
      <sheetName val="Comp06"/>
      <sheetName val="предприятия"/>
      <sheetName val="оборудование"/>
      <sheetName val="SUN TB"/>
      <sheetName val="ЦентрЗатр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вознаграждение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SAD Schedule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t0_name"/>
      <sheetName val="1 вариант  2009 "/>
      <sheetName val="XREF"/>
      <sheetName val="summary"/>
      <sheetName val="Инвест"/>
      <sheetName val="Запрос"/>
      <sheetName val="month"/>
      <sheetName val="9-1"/>
      <sheetName val="4"/>
      <sheetName val="1-1"/>
      <sheetName val="1"/>
      <sheetName val="Список документов"/>
      <sheetName val="с 01.08 по 17.10 = 1569 вагонов"/>
      <sheetName val="list"/>
      <sheetName val="Настройки"/>
      <sheetName val="линии"/>
      <sheetName val="счетчики"/>
      <sheetName val="потр"/>
      <sheetName val="СН"/>
      <sheetName val="ДД"/>
      <sheetName val="канц"/>
      <sheetName val="Индексы"/>
      <sheetName val="Datasheet"/>
      <sheetName val="B 1"/>
      <sheetName val="C 25"/>
      <sheetName val="A 100"/>
      <sheetName val="PP&amp;E_mvt_for_2003"/>
      <sheetName val="B_1"/>
      <sheetName val="C_25"/>
      <sheetName val="A_100"/>
      <sheetName val="2БО"/>
      <sheetName val="Cashflow"/>
      <sheetName val="14_1_2_2_(Услуги_связи)"/>
      <sheetName val="14_1_2_2__Услуги связи_"/>
      <sheetName val="7_1"/>
      <sheetName val="14_1_2_2__Услуги_связи_"/>
      <sheetName val="ДБСП_02__2002"/>
      <sheetName val="Транспорт"/>
      <sheetName val="Depr"/>
      <sheetName val="Control"/>
      <sheetName val="VLOOKUP"/>
      <sheetName val="INPUTMASTE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из_сем2"/>
      <sheetName val="Лист1_(3)"/>
      <sheetName val="на_31_12_07_(4)"/>
      <sheetName val="CIP_Dec_2006"/>
      <sheetName val="План_закупок"/>
      <sheetName val="Командировочные_расходы"/>
      <sheetName val="12_из_57_АЗС"/>
      <sheetName val="__2_3_2"/>
      <sheetName val="МО_001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свод2010г_по_гр_"/>
      <sheetName val="Статьи_затрат"/>
      <sheetName val="Income_$"/>
      <sheetName val="2008_ГСМ"/>
      <sheetName val="Плата_за_загрязнение_"/>
      <sheetName val="3_ФОТ"/>
      <sheetName val="2а_(4)"/>
      <sheetName val="выданы_таб_№_(от_25_01_12_ОК)"/>
      <sheetName val="по_2007_году_план_на_2008_год"/>
      <sheetName val="Страхование_ГПО_охр_2"/>
      <sheetName val="исп_см_"/>
      <sheetName val="SUN_TB"/>
      <sheetName val="C-Total_Market"/>
      <sheetName val="I-Demand_Drivers"/>
      <sheetName val="расчет_ГСМ_НА_2013Г"/>
      <sheetName val="канат_прод_"/>
      <sheetName val="2_2_ОтклОТМ"/>
      <sheetName val="1_3_2_ОТМ"/>
      <sheetName val="д_7_001"/>
      <sheetName val="3БК_Инвестиции"/>
      <sheetName val="26_04_2013_(2)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из_сем3"/>
      <sheetName val="PP&amp;E_mvt_for_20031"/>
      <sheetName val="ДБСП_02__20021"/>
      <sheetName val="факт_2005_г_1"/>
      <sheetName val="Лист1_(3)1"/>
      <sheetName val="на_31_12_07_(4)1"/>
      <sheetName val="CIP_Dec_20061"/>
      <sheetName val="7_11"/>
      <sheetName val="Изменяемые_данные1"/>
      <sheetName val="Financial_ratios_А31"/>
      <sheetName val="План_закупок1"/>
      <sheetName val="Командировочные_расходы1"/>
      <sheetName val="12_из_57_АЗС1"/>
      <sheetName val="__2_3_21"/>
      <sheetName val="МО_00121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свод2010г_по_гр_1"/>
      <sheetName val="Статьи_затрат1"/>
      <sheetName val="Income_$1"/>
      <sheetName val="14_1_2_2_(Услуги_связи)1"/>
      <sheetName val="balans_31"/>
      <sheetName val="1_411_11"/>
      <sheetName val="Ден_потоки1"/>
      <sheetName val="Haul_cons1"/>
      <sheetName val="Распределение_прибыли1"/>
      <sheetName val="2008_ГСМ1"/>
      <sheetName val="Плата_за_загрязнение_1"/>
      <sheetName val="3_ФОТ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SUN_TB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6_04_2013_(2)1"/>
      <sheetName val="СВОД_Логистика"/>
      <sheetName val="Treatment_Summary"/>
      <sheetName val="FES"/>
      <sheetName val="PR_CN"/>
      <sheetName val="Кабельная продукция"/>
      <sheetName val="Ком плат"/>
      <sheetName val="Списки"/>
      <sheetName val="УО"/>
      <sheetName val="_ 2_3_2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4.Налоги"/>
      <sheetName val="Логистика"/>
      <sheetName val="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опотиз"/>
      <sheetName val="83"/>
      <sheetName val="IFRS FS"/>
      <sheetName val="ГБ"/>
      <sheetName val="Источник финансирования"/>
      <sheetName val="Месяцы"/>
      <sheetName val="ЭКРБ"/>
      <sheetName val="Способ закупки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станции"/>
      <sheetName val="собственный капитал"/>
      <sheetName val="Год"/>
      <sheetName val="Фонд"/>
      <sheetName val="Assump"/>
      <sheetName val="Допущения"/>
      <sheetName val="ремонтТ9"/>
      <sheetName val="34-143"/>
      <sheetName val="Strat 1H 2008"/>
      <sheetName val="КАТО"/>
      <sheetName val="2_Уст_у_ж.д._тупика"/>
      <sheetName val="амортизация"/>
      <sheetName val="Вариант2,1"/>
      <sheetName val="Цена"/>
      <sheetName val="Лист 1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из_сем4"/>
      <sheetName val="PP&amp;E_mvt_for_20032"/>
      <sheetName val="факт_2005_г_2"/>
      <sheetName val="ДБСП_02__20022"/>
      <sheetName val="Лист1_(3)2"/>
      <sheetName val="на_31_12_07_(4)2"/>
      <sheetName val="CIP_Dec_20062"/>
      <sheetName val="7_12"/>
      <sheetName val="Изменяемые_данные2"/>
      <sheetName val="Financial_ratios_А32"/>
      <sheetName val="План_закупок2"/>
      <sheetName val="Командировочные_расходы2"/>
      <sheetName val="12_из_57_АЗС2"/>
      <sheetName val="МО_00122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свод2010г_по_гр_2"/>
      <sheetName val="Статьи_затрат2"/>
      <sheetName val="Income_$2"/>
      <sheetName val="14_1_2_2_(Услуги_связи)2"/>
      <sheetName val="balans_32"/>
      <sheetName val="1_411_12"/>
      <sheetName val="Ден_потоки2"/>
      <sheetName val="Haul_cons2"/>
      <sheetName val="Распределение_прибыли2"/>
      <sheetName val="2008_ГСМ2"/>
      <sheetName val="Плата_за_загрязнение_2"/>
      <sheetName val="3_ФОТ2"/>
      <sheetName val="2а_(4)2"/>
      <sheetName val="выданы_таб_№_(от_25_01_12_ОК)2"/>
      <sheetName val="по_2007_году_план_на_2008_год2"/>
      <sheetName val="Страхование_ГПО_охр_22"/>
      <sheetName val="исп_см_2"/>
      <sheetName val="SUN_TB2"/>
      <sheetName val="C-Total_Market2"/>
      <sheetName val="I-Demand_Drivers2"/>
      <sheetName val="расчет_ГСМ_НА_2013Г2"/>
      <sheetName val="канат_прод_2"/>
      <sheetName val="2_2_ОтклОТМ2"/>
      <sheetName val="1_3_2_ОТМ2"/>
      <sheetName val="д_7_0012"/>
      <sheetName val="3БК_Инвестиции2"/>
      <sheetName val="26_04_2013_(2)2"/>
      <sheetName val="5.3. Усл. связи"/>
      <sheetName val="стр.145 рос. исп"/>
      <sheetName val="Отд.расх"/>
      <sheetName val="муз колледж"/>
      <sheetName val="__2_3_23"/>
      <sheetName val="7НК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Б.мчас (П)"/>
      <sheetName val="ЦЕХА"/>
      <sheetName val="общ скв"/>
      <sheetName val="сводУМЗ"/>
      <sheetName val=" По скв"/>
      <sheetName val="1кв. "/>
      <sheetName val="2кв."/>
      <sheetName val="План произв-ва (мес.) (бюджет)"/>
      <sheetName val="EMPLANM"/>
      <sheetName val="Prelim Cost"/>
      <sheetName val="IS-Cash"/>
      <sheetName val="Loan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Input TI"/>
      <sheetName val="Макро"/>
      <sheetName val="Технически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 refreshError="1"/>
      <sheetData sheetId="130"/>
      <sheetData sheetId="131"/>
      <sheetData sheetId="132"/>
      <sheetData sheetId="133"/>
      <sheetData sheetId="134">
        <row r="1">
          <cell r="G1" t="str">
            <v xml:space="preserve"> </v>
          </cell>
        </row>
      </sheetData>
      <sheetData sheetId="135">
        <row r="1">
          <cell r="G1">
            <v>0</v>
          </cell>
        </row>
      </sheetData>
      <sheetData sheetId="136">
        <row r="1">
          <cell r="G1">
            <v>0</v>
          </cell>
        </row>
      </sheetData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>
        <row r="1">
          <cell r="G1" t="str">
            <v/>
          </cell>
        </row>
      </sheetData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1">
          <cell r="G1" t="str">
            <v xml:space="preserve"> </v>
          </cell>
        </row>
      </sheetData>
      <sheetData sheetId="248" refreshError="1"/>
      <sheetData sheetId="249">
        <row r="1">
          <cell r="G1" t="str">
            <v/>
          </cell>
        </row>
      </sheetData>
      <sheetData sheetId="250" refreshError="1"/>
      <sheetData sheetId="251">
        <row r="1">
          <cell r="G1" t="str">
            <v/>
          </cell>
        </row>
      </sheetData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1">
          <cell r="G1" t="str">
            <v/>
          </cell>
        </row>
      </sheetData>
      <sheetData sheetId="258">
        <row r="1">
          <cell r="G1" t="str">
            <v/>
          </cell>
        </row>
      </sheetData>
      <sheetData sheetId="259" refreshError="1"/>
      <sheetData sheetId="260">
        <row r="1">
          <cell r="G1" t="str">
            <v/>
          </cell>
        </row>
      </sheetData>
      <sheetData sheetId="261">
        <row r="1">
          <cell r="G1" t="str">
            <v/>
          </cell>
        </row>
      </sheetData>
      <sheetData sheetId="262">
        <row r="1">
          <cell r="G1" t="str">
            <v/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 t="str">
            <v/>
          </cell>
        </row>
      </sheetData>
      <sheetData sheetId="265">
        <row r="1">
          <cell r="G1" t="str">
            <v/>
          </cell>
        </row>
      </sheetData>
      <sheetData sheetId="266">
        <row r="1">
          <cell r="G1" t="str">
            <v/>
          </cell>
        </row>
      </sheetData>
      <sheetData sheetId="267">
        <row r="1">
          <cell r="G1" t="str">
            <v/>
          </cell>
        </row>
      </sheetData>
      <sheetData sheetId="268">
        <row r="1">
          <cell r="G1" t="str">
            <v/>
          </cell>
        </row>
      </sheetData>
      <sheetData sheetId="269">
        <row r="1">
          <cell r="G1" t="str">
            <v/>
          </cell>
        </row>
      </sheetData>
      <sheetData sheetId="270">
        <row r="1">
          <cell r="G1" t="str">
            <v/>
          </cell>
        </row>
      </sheetData>
      <sheetData sheetId="271">
        <row r="1">
          <cell r="G1" t="str">
            <v/>
          </cell>
        </row>
      </sheetData>
      <sheetData sheetId="272">
        <row r="1">
          <cell r="G1" t="str">
            <v/>
          </cell>
        </row>
      </sheetData>
      <sheetData sheetId="273">
        <row r="1">
          <cell r="G1" t="str">
            <v/>
          </cell>
        </row>
      </sheetData>
      <sheetData sheetId="274">
        <row r="1">
          <cell r="G1" t="str">
            <v/>
          </cell>
        </row>
      </sheetData>
      <sheetData sheetId="275">
        <row r="1">
          <cell r="G1" t="str">
            <v/>
          </cell>
        </row>
      </sheetData>
      <sheetData sheetId="276">
        <row r="1">
          <cell r="G1" t="str">
            <v/>
          </cell>
        </row>
      </sheetData>
      <sheetData sheetId="277">
        <row r="1">
          <cell r="G1" t="str">
            <v xml:space="preserve"> </v>
          </cell>
        </row>
      </sheetData>
      <sheetData sheetId="278">
        <row r="1">
          <cell r="G1" t="str">
            <v/>
          </cell>
        </row>
      </sheetData>
      <sheetData sheetId="279">
        <row r="1">
          <cell r="G1" t="str">
            <v xml:space="preserve"> </v>
          </cell>
        </row>
      </sheetData>
      <sheetData sheetId="280">
        <row r="1">
          <cell r="G1" t="str">
            <v/>
          </cell>
        </row>
      </sheetData>
      <sheetData sheetId="281">
        <row r="1">
          <cell r="G1" t="str">
            <v/>
          </cell>
        </row>
      </sheetData>
      <sheetData sheetId="282">
        <row r="1">
          <cell r="G1">
            <v>0</v>
          </cell>
        </row>
      </sheetData>
      <sheetData sheetId="283">
        <row r="1">
          <cell r="G1" t="str">
            <v xml:space="preserve"> </v>
          </cell>
        </row>
      </sheetData>
      <sheetData sheetId="284">
        <row r="1">
          <cell r="G1" t="str">
            <v/>
          </cell>
        </row>
      </sheetData>
      <sheetData sheetId="285">
        <row r="1">
          <cell r="G1" t="str">
            <v/>
          </cell>
        </row>
      </sheetData>
      <sheetData sheetId="286">
        <row r="1">
          <cell r="G1" t="str">
            <v xml:space="preserve"> </v>
          </cell>
        </row>
      </sheetData>
      <sheetData sheetId="287">
        <row r="1">
          <cell r="G1" t="str">
            <v/>
          </cell>
        </row>
      </sheetData>
      <sheetData sheetId="288">
        <row r="1">
          <cell r="G1" t="str">
            <v xml:space="preserve"> </v>
          </cell>
        </row>
      </sheetData>
      <sheetData sheetId="289">
        <row r="1">
          <cell r="G1" t="str">
            <v/>
          </cell>
        </row>
      </sheetData>
      <sheetData sheetId="290">
        <row r="1">
          <cell r="G1" t="str">
            <v/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 t="str">
            <v/>
          </cell>
        </row>
      </sheetData>
      <sheetData sheetId="294">
        <row r="1">
          <cell r="G1" t="str">
            <v/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 t="str">
            <v/>
          </cell>
        </row>
      </sheetData>
      <sheetData sheetId="298">
        <row r="1">
          <cell r="G1">
            <v>0</v>
          </cell>
        </row>
      </sheetData>
      <sheetData sheetId="299">
        <row r="1">
          <cell r="G1" t="str">
            <v xml:space="preserve"> </v>
          </cell>
        </row>
      </sheetData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>
        <row r="1">
          <cell r="G1">
            <v>0</v>
          </cell>
        </row>
      </sheetData>
      <sheetData sheetId="364">
        <row r="1">
          <cell r="G1">
            <v>0</v>
          </cell>
        </row>
      </sheetData>
      <sheetData sheetId="365" refreshError="1"/>
      <sheetData sheetId="366">
        <row r="1">
          <cell r="G1">
            <v>0</v>
          </cell>
        </row>
      </sheetData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>
        <row r="1">
          <cell r="G1">
            <v>0</v>
          </cell>
        </row>
      </sheetData>
      <sheetData sheetId="436">
        <row r="1">
          <cell r="G1" t="str">
            <v/>
          </cell>
        </row>
      </sheetData>
      <sheetData sheetId="437">
        <row r="1">
          <cell r="G1" t="str">
            <v/>
          </cell>
        </row>
      </sheetData>
      <sheetData sheetId="438">
        <row r="1">
          <cell r="G1" t="str">
            <v/>
          </cell>
        </row>
      </sheetData>
      <sheetData sheetId="439">
        <row r="1">
          <cell r="G1" t="str">
            <v/>
          </cell>
        </row>
      </sheetData>
      <sheetData sheetId="440">
        <row r="1">
          <cell r="G1">
            <v>0</v>
          </cell>
        </row>
      </sheetData>
      <sheetData sheetId="441">
        <row r="1">
          <cell r="G1" t="str">
            <v/>
          </cell>
        </row>
      </sheetData>
      <sheetData sheetId="442">
        <row r="1">
          <cell r="G1" t="str">
            <v/>
          </cell>
        </row>
      </sheetData>
      <sheetData sheetId="443">
        <row r="1">
          <cell r="G1" t="str">
            <v/>
          </cell>
        </row>
      </sheetData>
      <sheetData sheetId="444">
        <row r="1">
          <cell r="G1" t="str">
            <v/>
          </cell>
        </row>
      </sheetData>
      <sheetData sheetId="445">
        <row r="1">
          <cell r="G1" t="str">
            <v/>
          </cell>
        </row>
      </sheetData>
      <sheetData sheetId="446">
        <row r="1">
          <cell r="G1" t="str">
            <v/>
          </cell>
        </row>
      </sheetData>
      <sheetData sheetId="447">
        <row r="1">
          <cell r="G1">
            <v>0</v>
          </cell>
        </row>
      </sheetData>
      <sheetData sheetId="448">
        <row r="1">
          <cell r="G1" t="str">
            <v/>
          </cell>
        </row>
      </sheetData>
      <sheetData sheetId="449">
        <row r="1">
          <cell r="G1" t="str">
            <v/>
          </cell>
        </row>
      </sheetData>
      <sheetData sheetId="450">
        <row r="1">
          <cell r="G1" t="str">
            <v/>
          </cell>
        </row>
      </sheetData>
      <sheetData sheetId="451">
        <row r="1">
          <cell r="G1">
            <v>0</v>
          </cell>
        </row>
      </sheetData>
      <sheetData sheetId="452">
        <row r="1">
          <cell r="G1" t="str">
            <v/>
          </cell>
        </row>
      </sheetData>
      <sheetData sheetId="453">
        <row r="1">
          <cell r="G1">
            <v>0</v>
          </cell>
        </row>
      </sheetData>
      <sheetData sheetId="454">
        <row r="1">
          <cell r="G1">
            <v>0</v>
          </cell>
        </row>
      </sheetData>
      <sheetData sheetId="455">
        <row r="1">
          <cell r="G1" t="str">
            <v/>
          </cell>
        </row>
      </sheetData>
      <sheetData sheetId="456">
        <row r="1">
          <cell r="G1" t="str">
            <v/>
          </cell>
        </row>
      </sheetData>
      <sheetData sheetId="457">
        <row r="1">
          <cell r="G1" t="str">
            <v/>
          </cell>
        </row>
      </sheetData>
      <sheetData sheetId="458">
        <row r="1">
          <cell r="G1">
            <v>0</v>
          </cell>
        </row>
      </sheetData>
      <sheetData sheetId="459">
        <row r="1">
          <cell r="G1" t="str">
            <v/>
          </cell>
        </row>
      </sheetData>
      <sheetData sheetId="460">
        <row r="1">
          <cell r="G1">
            <v>0</v>
          </cell>
        </row>
      </sheetData>
      <sheetData sheetId="461">
        <row r="1">
          <cell r="G1" t="str">
            <v/>
          </cell>
        </row>
      </sheetData>
      <sheetData sheetId="462">
        <row r="1">
          <cell r="G1">
            <v>0</v>
          </cell>
        </row>
      </sheetData>
      <sheetData sheetId="463">
        <row r="1">
          <cell r="G1">
            <v>0</v>
          </cell>
        </row>
      </sheetData>
      <sheetData sheetId="464">
        <row r="1">
          <cell r="G1" t="str">
            <v/>
          </cell>
        </row>
      </sheetData>
      <sheetData sheetId="465">
        <row r="1">
          <cell r="G1" t="str">
            <v/>
          </cell>
        </row>
      </sheetData>
      <sheetData sheetId="466">
        <row r="1">
          <cell r="G1" t="str">
            <v/>
          </cell>
        </row>
      </sheetData>
      <sheetData sheetId="467">
        <row r="1">
          <cell r="G1" t="str">
            <v/>
          </cell>
        </row>
      </sheetData>
      <sheetData sheetId="468">
        <row r="1">
          <cell r="G1">
            <v>0</v>
          </cell>
        </row>
      </sheetData>
      <sheetData sheetId="469">
        <row r="1">
          <cell r="G1">
            <v>0</v>
          </cell>
        </row>
      </sheetData>
      <sheetData sheetId="470">
        <row r="1">
          <cell r="G1" t="str">
            <v/>
          </cell>
        </row>
      </sheetData>
      <sheetData sheetId="471">
        <row r="1">
          <cell r="G1" t="str">
            <v/>
          </cell>
        </row>
      </sheetData>
      <sheetData sheetId="472">
        <row r="1">
          <cell r="G1">
            <v>0</v>
          </cell>
        </row>
      </sheetData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>
        <row r="1">
          <cell r="G1">
            <v>0</v>
          </cell>
        </row>
      </sheetData>
      <sheetData sheetId="486">
        <row r="1">
          <cell r="G1" t="str">
            <v/>
          </cell>
        </row>
      </sheetData>
      <sheetData sheetId="487">
        <row r="1">
          <cell r="G1" t="str">
            <v/>
          </cell>
        </row>
      </sheetData>
      <sheetData sheetId="488">
        <row r="1">
          <cell r="G1">
            <v>0</v>
          </cell>
        </row>
      </sheetData>
      <sheetData sheetId="489">
        <row r="1">
          <cell r="G1" t="str">
            <v/>
          </cell>
        </row>
      </sheetData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>
        <row r="1">
          <cell r="G1">
            <v>0</v>
          </cell>
        </row>
      </sheetData>
      <sheetData sheetId="502">
        <row r="1">
          <cell r="G1" t="str">
            <v/>
          </cell>
        </row>
      </sheetData>
      <sheetData sheetId="503">
        <row r="1">
          <cell r="G1" t="str">
            <v/>
          </cell>
        </row>
      </sheetData>
      <sheetData sheetId="504">
        <row r="1">
          <cell r="G1">
            <v>0</v>
          </cell>
        </row>
      </sheetData>
      <sheetData sheetId="505">
        <row r="1">
          <cell r="G1" t="str">
            <v/>
          </cell>
        </row>
      </sheetData>
      <sheetData sheetId="506">
        <row r="1">
          <cell r="G1" t="str">
            <v/>
          </cell>
        </row>
      </sheetData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Форма2"/>
      <sheetName val="Форма1"/>
      <sheetName val="Пр2"/>
      <sheetName val="Hidden"/>
      <sheetName val="флормиро"/>
      <sheetName val="элементы"/>
      <sheetName val="5NK "/>
      <sheetName val="Форма3.6"/>
      <sheetName val="Нефть"/>
      <sheetName val="ОТиТБ"/>
      <sheetName val="ДС МЗК"/>
      <sheetName val="База"/>
      <sheetName val="XREF"/>
      <sheetName val="#ССЫЛКА"/>
      <sheetName val="summary"/>
      <sheetName val="Лист2"/>
      <sheetName val="д.7.001"/>
      <sheetName val="Фин план"/>
      <sheetName val="Изменяемые данные"/>
      <sheetName val="14.1.2.2.(Услуги связи)"/>
      <sheetName val="Movements"/>
      <sheetName val="list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5NK "/>
      <sheetName val="флормиро"/>
      <sheetName val="Hidden"/>
      <sheetName val="СписокТЭП"/>
      <sheetName val="Титул1"/>
      <sheetName val="Нефть"/>
      <sheetName val="цены14"/>
      <sheetName val="#REF"/>
      <sheetName val="Лист2"/>
      <sheetName val="д.7.001"/>
      <sheetName val="ЕдИзм"/>
      <sheetName val="Текущие цены"/>
      <sheetName val="рабочий"/>
      <sheetName val="окраска"/>
      <sheetName val="ДС МЗК"/>
      <sheetName val="Форма3.6"/>
      <sheetName val="ОТиТБ"/>
      <sheetName val="Форма1"/>
      <sheetName val="справка"/>
      <sheetName val="группа"/>
      <sheetName val="list"/>
      <sheetName val="LME_prices"/>
      <sheetName val="Изменяемые данные"/>
      <sheetName val="Water trucking 2005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УПРАВЛЕНИЕ11"/>
      <sheetName val="МАТЕР.433,452"/>
      <sheetName val="титул.лист "/>
      <sheetName val="Ден потоки"/>
      <sheetName val="ремонт 25"/>
      <sheetName val="ЛКЗ и ЭКЗ"/>
      <sheetName val="материалы"/>
      <sheetName val="Financial ratios А3"/>
      <sheetName val="Справочник"/>
      <sheetName val="ФОТ"/>
      <sheetName val="1.411.1"/>
      <sheetName val="измен. формы"/>
      <sheetName val="Индексы"/>
      <sheetName val="#REF!"/>
      <sheetName val="9-1"/>
      <sheetName val="4"/>
      <sheetName val="1-1"/>
      <sheetName val="1"/>
      <sheetName val="XREF"/>
      <sheetName val="ЦентрЗатр"/>
      <sheetName val="Предпр"/>
      <sheetName val="FES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ФС-75"/>
      <sheetName val="ФСМн "/>
      <sheetName val="ФХ "/>
      <sheetName val="ФХС-40 "/>
      <sheetName val="ФХС-48 "/>
      <sheetName val="с 01.08 по 17.10 = 1569 вагонов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Добыча нефти4"/>
      <sheetName val="Потребители"/>
      <sheetName val="Блоки"/>
      <sheetName val="Пок"/>
      <sheetName val="NOV"/>
      <sheetName val="Пр2"/>
      <sheetName val="Сдача "/>
      <sheetName val="Форма2"/>
      <sheetName val="Loans out"/>
      <sheetName val="ОборБалФормОтч"/>
      <sheetName val="МО 0012"/>
      <sheetName val="Бюджет"/>
      <sheetName val="Assumptions"/>
      <sheetName val="СПгнг"/>
      <sheetName val="ведомость"/>
      <sheetName val="Ввод"/>
      <sheetName val="Лист3"/>
      <sheetName val="12 из 57 АЗС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N_SVOD"/>
      <sheetName val="5NK "/>
      <sheetName val="по 2007 году план на 2008 год"/>
      <sheetName val="Труд."/>
      <sheetName val="Форма 18"/>
      <sheetName val="БиВи (290)"/>
      <sheetName val="450"/>
      <sheetName val="Сеть"/>
      <sheetName val="Спецификация"/>
      <sheetName val="МодельППП (Свод)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МАТЕР.433,452"/>
      <sheetName val="PL12"/>
      <sheetName val="K6210"/>
      <sheetName val="1. Доходы"/>
      <sheetName val="общие данные"/>
      <sheetName val="отделы"/>
      <sheetName val="Начисления процентов"/>
      <sheetName val="точн2"/>
      <sheetName val="Макро"/>
      <sheetName val="PV-date"/>
      <sheetName val="табель"/>
      <sheetName val="Способ закупки"/>
      <sheetName val="7НК"/>
      <sheetName val="indx"/>
      <sheetName val="Транс12дек"/>
      <sheetName val="Test of FA Installation"/>
      <sheetName val="Additions"/>
      <sheetName val="Сдача_"/>
      <sheetName val="МО_0012"/>
      <sheetName val="справка"/>
      <sheetName val="#REF!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баки _2_"/>
      <sheetName val="ИД"/>
      <sheetName val="Data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/>
      <sheetData sheetId="469"/>
      <sheetData sheetId="470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/>
      <sheetData sheetId="536" refreshError="1"/>
      <sheetData sheetId="537" refreshError="1"/>
      <sheetData sheetId="538" refreshError="1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Форма3.6"/>
      <sheetName val="14_1_2_2_(Услуги_связи)1"/>
      <sheetName val="14_1_2_2_(Услуги_связи)"/>
      <sheetName val="14_1_2_2_(Услуги_связи)2"/>
      <sheetName val="Сдача "/>
      <sheetName val="Бюджет"/>
      <sheetName val="ЕдИзм"/>
      <sheetName val="Предпр"/>
      <sheetName val="7.1"/>
      <sheetName val="Ф4_КБМ+АФ"/>
      <sheetName val="Справочник"/>
      <sheetName val="14_1_2_2__Услуги связи_"/>
      <sheetName val="Treatment Summary"/>
      <sheetName val="Пром1"/>
      <sheetName val="L-1 Займ БРК инвест цели"/>
      <sheetName val="G-1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1Утв ТК  Capex 07 "/>
      <sheetName val="исп.см."/>
      <sheetName val="по 2007 году план на 2008 год"/>
      <sheetName val="справка"/>
      <sheetName val="группа"/>
      <sheetName val="д.7.001"/>
      <sheetName val="5NK "/>
      <sheetName val="Пр2"/>
      <sheetName val="ОТиТБ"/>
      <sheetName val="2002(v1)"/>
      <sheetName val="list"/>
      <sheetName val="AFS"/>
      <sheetName val="СписокТЭП"/>
      <sheetName val="БиВи (290)"/>
      <sheetName val="Лист5"/>
      <sheetName val="L-1"/>
      <sheetName val="Нефть"/>
      <sheetName val="LME_prices"/>
      <sheetName val="I. Прогноз доходов"/>
      <sheetName val="Prelim Co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Месяц"/>
      <sheetName val="Расчет2000Прямой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ОСВ"/>
      <sheetName val="Лист3"/>
      <sheetName val="точн2"/>
      <sheetName val="ФП"/>
      <sheetName val="флормиро"/>
      <sheetName val="450 (2)"/>
      <sheetName val="приложение№3"/>
      <sheetName val="Add-s test"/>
      <sheetName val="АЗФ"/>
      <sheetName val="АК"/>
      <sheetName val="Актюбе"/>
      <sheetName val="ССГПО"/>
      <sheetName val="ввод-вывод ОС авг2004- 2005"/>
      <sheetName val="BS new"/>
      <sheetName val="2007 0,01"/>
      <sheetName val="Накл"/>
      <sheetName val="июнь"/>
      <sheetName val="май 203"/>
      <sheetName val="Лист6"/>
      <sheetName val="Лист1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Loans out"/>
      <sheetName val="Гр5(о)"/>
      <sheetName val="свод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Hidden"/>
      <sheetName val="МАТЕР.433,452"/>
      <sheetName val="исходные данные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Sheet1"/>
      <sheetName val="ГБ"/>
      <sheetName val="мат расходы"/>
      <sheetName val="план"/>
      <sheetName val="2.8. стр-ра себестоимости"/>
      <sheetName val="#REF!"/>
      <sheetName val="Сводная"/>
      <sheetName val="Баланс"/>
      <sheetName val="Предпосылки"/>
      <sheetName val="IS"/>
      <sheetName val="Форма 18"/>
      <sheetName val="Перем. затр"/>
      <sheetName val="Потребители"/>
      <sheetName val="Блоки"/>
      <sheetName val="КР материалы"/>
      <sheetName val="Movements"/>
      <sheetName val="Capex"/>
      <sheetName val="Dictionaries"/>
      <sheetName val="База"/>
      <sheetName val="сброс"/>
      <sheetName val="9-1"/>
      <sheetName val="4"/>
      <sheetName val="1-1"/>
      <sheetName val="1"/>
      <sheetName val="КАТО"/>
      <sheetName val="ОПГЗ"/>
      <sheetName val="План ГЗ"/>
      <sheetName val="класс"/>
      <sheetName val="01-45"/>
      <sheetName val="Спр_ пласт"/>
      <sheetName val="Подразд"/>
      <sheetName val="1 вариант  2009 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Преискурант"/>
      <sheetName val="ЯНВАРЬ"/>
      <sheetName val="Sheet2"/>
      <sheetName val="РСза 6-м 2012"/>
      <sheetName val="Sheet5"/>
      <sheetName val=" 2.3.2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Тарифы"/>
      <sheetName val="ИП_ДО_БЛ "/>
      <sheetName val="2_2 ОтклОТМ"/>
      <sheetName val="1_3_2 ОТМ"/>
    </sheetNames>
    <sheetDataSet>
      <sheetData sheetId="0" refreshError="1"/>
      <sheetData sheetId="1" refreshError="1"/>
      <sheetData sheetId="2" refreshError="1"/>
      <sheetData sheetId="3">
        <row r="13">
          <cell r="C1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одель КМГ"/>
      <sheetName val="Модель КТО"/>
      <sheetName val="МодельППП (Свод)"/>
      <sheetName val="МодельППП (нефть)"/>
      <sheetName val="МодельППП (вода)"/>
      <sheetName val="МодельАП (Свод)"/>
      <sheetName val="МодельАП (Нефть)"/>
      <sheetName val="Использование природного сырья"/>
      <sheetName val="МодельАП (Вода)"/>
      <sheetName val="Сырье и материалы"/>
      <sheetName val="ГСМ"/>
      <sheetName val="Топливо"/>
      <sheetName val="ФОТ"/>
      <sheetName val="Энергия"/>
      <sheetName val="Амортизация"/>
      <sheetName val="Кап. ремонт"/>
      <sheetName val="ЗФ КР"/>
      <sheetName val="Капитализация (ЗФ)"/>
      <sheetName val="Тек.ремонт"/>
      <sheetName val="ПНР"/>
      <sheetName val="Технол.расходы"/>
      <sheetName val="Авиа"/>
      <sheetName val="Услуги связи"/>
      <sheetName val="Связь"/>
      <sheetName val="Транспорт грузов"/>
      <sheetName val="Служба метрологии"/>
      <sheetName val="Ком.расходы"/>
      <sheetName val="Диагностика"/>
      <sheetName val="ОТиТБ"/>
      <sheetName val="НИОКР"/>
      <sheetName val="НТД"/>
      <sheetName val="подготовка кадров "/>
      <sheetName val="Охрана окр.среды"/>
      <sheetName val="Страхование"/>
      <sheetName val="сод. и лиц. автотр. "/>
      <sheetName val="Другие прочие "/>
      <sheetName val="услуги банков"/>
      <sheetName val="почтово-канц. расходы"/>
      <sheetName val="Содерж. адм.зданий"/>
      <sheetName val="Аренда"/>
      <sheetName val="юр конслт услуги"/>
      <sheetName val="Налоги"/>
      <sheetName val="Реклама"/>
      <sheetName val="Имиджевая"/>
      <sheetName val="охрана"/>
      <sheetName val="Другие2"/>
      <sheetName val="соц пособия и МП"/>
      <sheetName val="Спонсорская помощь"/>
      <sheetName val="Социальная сфера"/>
      <sheetName val="Расх.на кул.озд.мер. "/>
      <sheetName val="Пр. соцвыплаты"/>
      <sheetName val="Форма2"/>
      <sheetName val="ЦХЛ 2004"/>
      <sheetName val="#ССЫЛКА"/>
      <sheetName val="Movements"/>
      <sheetName val="Б.мчас (П)"/>
      <sheetName val="База"/>
      <sheetName val="Титул1"/>
      <sheetName val="I. Прогноз доходов"/>
      <sheetName val="Добыча нефти4"/>
      <sheetName val="поставка сравн13"/>
      <sheetName val="Форма3.6"/>
      <sheetName val="СписокТЭП"/>
      <sheetName val="list"/>
      <sheetName val="FES"/>
      <sheetName val="Сеть"/>
      <sheetName val="  2.3.2"/>
      <sheetName val="5NK "/>
      <sheetName val="Сводный бизнес-план"/>
      <sheetName val="14.1.2.2.(Услуги связи)"/>
      <sheetName val="2.2 ОтклОТМ"/>
      <sheetName val="1.3.2 ОТМ"/>
      <sheetName val="Предпр"/>
      <sheetName val="ЦентрЗатр"/>
      <sheetName val="ЕдИзм"/>
      <sheetName val="общие данные"/>
      <sheetName val="отделы"/>
      <sheetName val="ввод-вывод ОС авг2004- 2005"/>
      <sheetName val="бартер"/>
      <sheetName val="L-1"/>
      <sheetName val="Форма1"/>
      <sheetName val="LME_prices"/>
      <sheetName val="Макро"/>
      <sheetName val="д.7.001"/>
      <sheetName val="Hidden"/>
      <sheetName val="P&amp;L"/>
      <sheetName val="Provisions"/>
      <sheetName val="Бюджет"/>
      <sheetName val="ИнвестицииСвод"/>
      <sheetName val="13 NGDO"/>
      <sheetName val="2007 0,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Сверка"/>
      <sheetName val="Prelim Cost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Сеть"/>
      <sheetName val="t0_name"/>
      <sheetName val="ИД"/>
      <sheetName val="Отпуск продукции"/>
      <sheetName val="1"/>
      <sheetName val="MS"/>
      <sheetName val="общие данные"/>
      <sheetName val="спецпит,проездн."/>
      <sheetName val="13 NGDO"/>
      <sheetName val="FES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14.1.2.2.(Услуги связи)"/>
      <sheetName val="табель"/>
      <sheetName val="Баланс"/>
      <sheetName val="Sheet5"/>
      <sheetName val="Штатное 2012-2015"/>
      <sheetName val="смета"/>
      <sheetName val="Форма1"/>
      <sheetName val="10 БО (kzt)"/>
      <sheetName val="Бюджет"/>
      <sheetName val="Пр2"/>
      <sheetName val="ввод-вывод ОС авг2004- 2005"/>
      <sheetName val="Форма3.6"/>
      <sheetName val="элементы"/>
      <sheetName val="5NK "/>
      <sheetName val="из сем"/>
      <sheetName val="Нефть"/>
      <sheetName val="L-1"/>
      <sheetName val="флормиро"/>
      <sheetName val="ПРОГНОЗ_1"/>
      <sheetName val="  2.3.2"/>
      <sheetName val="PL12"/>
      <sheetName val="Cash flow 2011"/>
      <sheetName val="VLOOKUP"/>
      <sheetName val="INPUTMASTER"/>
      <sheetName val="КБ"/>
      <sheetName val="Способ закупки"/>
      <sheetName val="АТиК"/>
      <sheetName val="Потребители"/>
      <sheetName val="Блоки"/>
      <sheetName val="отделы"/>
      <sheetName val="MATRIX_DA_10"/>
      <sheetName val="list"/>
      <sheetName val="Datasheet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Hidden"/>
      <sheetName val="s"/>
      <sheetName val="AFS"/>
      <sheetName val="д.7.001"/>
      <sheetName val="Сдача "/>
      <sheetName val="ЭКРБ"/>
      <sheetName val="1 (2)"/>
      <sheetName val="Об-я св-а"/>
      <sheetName val="2в"/>
      <sheetName val="Гр5(о)"/>
      <sheetName val="УУ 9 мес.2014"/>
      <sheetName val="BS new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Направления обучения"/>
      <sheetName val="Приложение 7 (ЕНП)"/>
      <sheetName val="сортамент"/>
      <sheetName val="Заполните"/>
      <sheetName val="План"/>
      <sheetName val="Факт"/>
      <sheetName val="потр"/>
      <sheetName val="СН"/>
      <sheetName val="Лист5"/>
      <sheetName val="Лист3"/>
      <sheetName val="точн2"/>
      <sheetName val="БиВи (290)"/>
      <sheetName val="450 (2)"/>
      <sheetName val="Накл"/>
      <sheetName val="I KEY INFORMATION"/>
      <sheetName val="Balance Sheet"/>
      <sheetName val="WBS elements RS-v.02A"/>
      <sheetName val="PP&amp;E mvt for 2003"/>
      <sheetName val="Capex"/>
      <sheetName val="Спецификация"/>
      <sheetName val="Прайс 2005"/>
      <sheetName val=""/>
      <sheetName val="исп_см_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Макро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Sales F"/>
      <sheetName val="новая №5"/>
      <sheetName val="Movements"/>
      <sheetName val="Собственный капитал"/>
      <sheetName val="Пок"/>
      <sheetName val="черновик"/>
      <sheetName val="ОП_свод"/>
      <sheetName val="глина"/>
      <sheetName val="Лв 1715 (сб)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2002(v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ТЭП"/>
      <sheetName val="Форма2"/>
      <sheetName val="ОТиТБ"/>
      <sheetName val="Добыча нефти4"/>
      <sheetName val="поставка сравн13"/>
      <sheetName val="Пром1"/>
      <sheetName val="СПгнг"/>
      <sheetName val="Лист1"/>
      <sheetName val="FES"/>
      <sheetName val="13 NGDO"/>
      <sheetName val="ЦентрЗатр"/>
      <sheetName val="2_2_ОтклОТМ"/>
      <sheetName val="1_3_2_ОТМ"/>
      <sheetName val="жд тарифы"/>
      <sheetName val="1кв. "/>
      <sheetName val="2кв."/>
      <sheetName val="14.1.2.2.(Услуги связи)"/>
      <sheetName val="МодельППП (Свод)"/>
      <sheetName val="I. Прогноз доходов"/>
      <sheetName val="бартер"/>
      <sheetName val="Input TD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Notes IS"/>
      <sheetName val="1NK"/>
      <sheetName val="#ССЫЛКА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"/>
      <sheetName val="MS"/>
      <sheetName val="табель"/>
      <sheetName val="Баланс"/>
      <sheetName val="Sheet5"/>
      <sheetName val="ввод-вывод ОС авг2004- 2005"/>
      <sheetName val="Сеть"/>
      <sheetName val="общие данные"/>
      <sheetName val="Loans out"/>
      <sheetName val="5NK "/>
      <sheetName val="из сем"/>
      <sheetName val="  2.3.2"/>
      <sheetName val="Форма1"/>
      <sheetName val="10 БО (kzt)"/>
      <sheetName val="Штатное 2012-2015"/>
      <sheetName val="смета"/>
      <sheetName val="Бюджет"/>
      <sheetName val="Пр2"/>
      <sheetName val="PL12"/>
      <sheetName val="MATRIX_DA_10"/>
      <sheetName val="Форма3.6"/>
      <sheetName val="элементы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L-1"/>
      <sheetName val="Титул1"/>
      <sheetName val="Нефть"/>
      <sheetName val="флормиро"/>
      <sheetName val="s"/>
      <sheetName val="Hidden"/>
      <sheetName val="Способ закупки"/>
      <sheetName val="Макро"/>
      <sheetName val="list"/>
      <sheetName val="1 (2)"/>
      <sheetName val="2в"/>
      <sheetName val="Об-я св-а"/>
      <sheetName val="МОП"/>
      <sheetName val="Cash flow 2011"/>
      <sheetName val="ЭКРБ"/>
      <sheetName val="7НК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потр"/>
      <sheetName val="СН"/>
      <sheetName val="апрель 09."/>
      <sheetName val="сброс"/>
      <sheetName val="КБ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VLOOKUP"/>
      <sheetName val="INPUTMASTER"/>
      <sheetName val="АТиК"/>
      <sheetName val="Потребители"/>
      <sheetName val="Блоки"/>
      <sheetName val="Сдача "/>
      <sheetName val="Datasheet"/>
      <sheetName val="ПРОГНОЗ_1"/>
      <sheetName val="отделы"/>
      <sheetName val="Приложение 7 (ЕНП)"/>
      <sheetName val="LME_prices"/>
      <sheetName val="AFS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Movements"/>
      <sheetName val="Собственный капитал"/>
      <sheetName val="Balance Sheet"/>
      <sheetName val="д.7.001"/>
      <sheetName val="форма 3 смета затрат"/>
      <sheetName val="PP&amp;E mvt for 2003"/>
      <sheetName val="Направления обучения"/>
      <sheetName val="Табельные номера сотрудников"/>
      <sheetName val="поставка_сравн132"/>
      <sheetName val="Добыча_нефти42"/>
      <sheetName val="МодельППП_(Свод)2"/>
      <sheetName val="13_NGDO2"/>
      <sheetName val="жд_тарифы2"/>
      <sheetName val="1кв__2"/>
      <sheetName val="2кв_2"/>
      <sheetName val="14_1_2_2_(Услуги_связи)2"/>
      <sheetName val="I__Прогноз_доходов2"/>
      <sheetName val="Input_TD2"/>
      <sheetName val="2_2_ОтклОТМ3"/>
      <sheetName val="1_3_2_ОТМ3"/>
      <sheetName val="МО_00122"/>
      <sheetName val="Статьи_ТЭП_старая_структура2"/>
      <sheetName val="Notes_IS2"/>
      <sheetName val="Prelim_Cost2"/>
      <sheetName val="Отпуск_продукции2"/>
      <sheetName val="1_класс2"/>
      <sheetName val="2_класс2"/>
      <sheetName val="3_класс2"/>
      <sheetName val="4_класс2"/>
      <sheetName val="5_класс2"/>
      <sheetName val="спецпит,проездн_2"/>
      <sheetName val="общие_данные2"/>
      <sheetName val="Loans_out2"/>
      <sheetName val="ввод-вывод_ОС_авг2004-_20052"/>
      <sheetName val="5NK_2"/>
      <sheetName val="из_сем2"/>
      <sheetName val="10_БО_(kzt)2"/>
      <sheetName val="Штатное_2012-20152"/>
      <sheetName val="__2_3_22"/>
      <sheetName val="Форма3_6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Способ_закупки"/>
      <sheetName val="1_(2)2"/>
      <sheetName val="Об-я_св-а2"/>
      <sheetName val="Cash_flow_20112"/>
      <sheetName val="апрель_09_1"/>
      <sheetName val="Сдача_"/>
      <sheetName val="Приложение_7_(ЕНП)"/>
      <sheetName val="Лист2"/>
      <sheetName val="Sep"/>
      <sheetName val="массив ДЗО"/>
      <sheetName val="Преискурант"/>
      <sheetName val=""/>
      <sheetName val="новая №5"/>
      <sheetName val="УУ 9 мес.2014"/>
      <sheetName val="Гр5(о)"/>
      <sheetName val="Пок"/>
      <sheetName val="черновик"/>
      <sheetName val="TB-300699-Final"/>
      <sheetName val="capex_kzt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I KEY INFORMATION"/>
      <sheetName val="ati"/>
      <sheetName val="I1"/>
      <sheetName val="I2"/>
      <sheetName val="Dictiona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I KEY INFORMATION"/>
      <sheetName val="Счетчики"/>
      <sheetName val="ОТиТБ"/>
      <sheetName val="ввод-вывод ОС авг2004- 2005"/>
      <sheetName val="ID-06"/>
      <sheetName val="СПгнг"/>
      <sheetName val="группа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из сем"/>
      <sheetName val="глина"/>
      <sheetName val="13 NGDO"/>
      <sheetName val="жд тарифы"/>
      <sheetName val="2 БО (тенге)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класс"/>
      <sheetName val="Об-я св-а"/>
      <sheetName val="2БО"/>
      <sheetName val="Пром1"/>
      <sheetName val="ЦентрЗатр"/>
      <sheetName val="Лист3"/>
      <sheetName val="#REF"/>
      <sheetName val="Отпуск продукции"/>
      <sheetName val="1NK"/>
      <sheetName val="LME_prices"/>
      <sheetName val="Спецификация"/>
      <sheetName val="МодельППП (Свод)"/>
      <sheetName val="Сеть"/>
      <sheetName val="Бюджет"/>
      <sheetName val="PV-date"/>
      <sheetName val="табель"/>
      <sheetName val="ЕдИзм"/>
      <sheetName val="Предпр"/>
      <sheetName val="Способ закупки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_ 2_3_2"/>
      <sheetName val="Позиция"/>
      <sheetName val="пожар.охрана"/>
      <sheetName val="рев на 09.06.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Расчет2000Прямой"/>
      <sheetName val="сброс"/>
      <sheetName val="Бал. тов. пр.-1"/>
      <sheetName val="Транс12дек"/>
      <sheetName val="PL12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МАТЕР.433,452"/>
      <sheetName val="1. Доходы"/>
      <sheetName val="Prelim Cost"/>
      <sheetName val="баки _2_"/>
      <sheetName val="смета"/>
      <sheetName val="Накл"/>
      <sheetName val="MATRIX_DA_10"/>
      <sheetName val="Data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ИД"/>
      <sheetName val="Dictionaries"/>
      <sheetName val="_"/>
      <sheetName val="2002(v2)"/>
      <sheetName val="BS new"/>
      <sheetName val="цеховые"/>
      <sheetName val="_x0000__x0003__x0000__x0004__x0000_"/>
      <sheetName val="_x0000_ _x0000_"/>
      <sheetName val="_x0000__x0009__x0000_"/>
      <sheetName val="#REF!"/>
      <sheetName val="исп.см."/>
      <sheetName val="персонала"/>
      <sheetName val="KTG_m"/>
      <sheetName val="ремонт 25"/>
      <sheetName val="пр 6 дох"/>
      <sheetName val="Исход"/>
      <sheetName val="Касс книга"/>
      <sheetName val="Ф"/>
      <sheetName val="10. Входные данные"/>
      <sheetName val="АНАЛИТ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Добыча_нефти43"/>
      <sheetName val="поставка_сравн13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из_сем3"/>
      <sheetName val="13_NGDO1"/>
      <sheetName val="жд_тарифы1"/>
      <sheetName val="2_БО_(тенге)1"/>
      <sheetName val="Input_TD1"/>
      <sheetName val="МО_00121"/>
      <sheetName val="Об-я_св-а"/>
      <sheetName val="Отпуск_продукции1"/>
      <sheetName val="МодельППП_(Свод)"/>
      <sheetName val="Способ_закупки"/>
      <sheetName val="Сдача_"/>
      <sheetName val="1,3_новая"/>
      <sheetName val="12_из_57_АЗС"/>
      <sheetName val="__2_3_2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__2_3_24"/>
      <sheetName val="пожар_охрана"/>
      <sheetName val="рев_на_09_06_"/>
      <sheetName val="3_ФОТ"/>
      <sheetName val="ТЭП_старая"/>
      <sheetName val="д_7_001"/>
      <sheetName val="постоянные_затраты"/>
      <sheetName val="Бал__тов__пр_-1"/>
      <sheetName val="базовые_допущения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_x0009__x0000__x0000__x0000_"/>
      <sheetName val="ремон _x0000__x0000__x0000_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3_смета_затрат"/>
      <sheetName val="4_Налоги"/>
      <sheetName val="РСза_6-м_2012"/>
      <sheetName val="Справка_ИЦА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Собственный капитал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Распределение"/>
      <sheetName val="План произв-ва (мес.) (бюджет)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 модели"/>
      <sheetName val="I1"/>
      <sheetName val="I2"/>
      <sheetName val="цхл 2004"/>
      <sheetName val="план07"/>
      <sheetName val="Налоги"/>
      <sheetName val="шкала"/>
      <sheetName val="Официальные курсы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 refreshError="1"/>
      <sheetData sheetId="376" refreshError="1"/>
      <sheetData sheetId="377" refreshError="1"/>
      <sheetData sheetId="378" refreshError="1"/>
      <sheetData sheetId="379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ет ставки"/>
      <sheetName val="Сводная"/>
      <sheetName val="Испания_начисление"/>
      <sheetName val="КП_на 01.01.2009"/>
      <sheetName val="ТТК начис. на 31.12.08"/>
      <sheetName val="ЛЛизинг начис. на 31.12.08"/>
      <sheetName val="ЛСЦ начисленное на 31.12.08"/>
      <sheetName val="транстелеком БРК (2)"/>
      <sheetName val="транстелеком ABN (2)"/>
      <sheetName val="Япония_начисление"/>
      <sheetName val="54 ДГУ_начисление"/>
      <sheetName val="200 ДГУ_начисление"/>
      <sheetName val="Бонды_начисление"/>
      <sheetName val="Лист2"/>
      <sheetName val="Лист3"/>
      <sheetName val="L-1"/>
      <sheetName val="СписокТЭП"/>
      <sheetName val="Форма2"/>
      <sheetName val="Balance Sheet"/>
      <sheetName val="База"/>
      <sheetName val="ввод-вывод ОС авг2004- 2005"/>
      <sheetName val="ОТиТБ"/>
      <sheetName val="#ССЫЛКА"/>
      <sheetName val="элементы"/>
      <sheetName val="сброс"/>
      <sheetName val="флормиро"/>
      <sheetName val="Форма1"/>
      <sheetName val="LME_prices"/>
      <sheetName val="Нефть"/>
      <sheetName val="FES"/>
      <sheetName val="МодельППП (Свод)"/>
      <sheetName val="FA Movement Kyrg"/>
      <sheetName val="Форма3.6"/>
      <sheetName val="поставка сравн13"/>
      <sheetName val="PL12"/>
      <sheetName val="Hidden"/>
      <sheetName val="Добыча нефти4"/>
      <sheetName val="Настройки"/>
      <sheetName val="Движение по месяцам"/>
      <sheetName val="MATRIX_DA_10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ement schedule"/>
      <sheetName val="Disclosure (leasing)"/>
      <sheetName val="depreciation testing"/>
      <sheetName val=" threshhold"/>
      <sheetName val="Additions testing"/>
      <sheetName val="Tickmarks"/>
      <sheetName val="Disposals testing"/>
      <sheetName val=" threshold"/>
      <sheetName val="Leased Assets"/>
      <sheetName val="FA Movement-consolidated-2000"/>
      <sheetName val="depreciation testing (2)"/>
      <sheetName val="FA UZ"/>
      <sheetName val="Disposals"/>
      <sheetName val="adds"/>
      <sheetName val="1651 "/>
      <sheetName val="FA Rollforward"/>
      <sheetName val="LME_prices"/>
      <sheetName val="L-1"/>
      <sheetName val="9"/>
      <sheetName val="FA Movement "/>
      <sheetName val="FS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СписокТЭП"/>
      <sheetName val="ОТиТБ"/>
      <sheetName val="элементы"/>
      <sheetName val="Worksheet in 5640 FA roll-forwa"/>
      <sheetName val="Movement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GH_612"/>
      <sheetName val="Transformation table  2002"/>
      <sheetName val="Intercompany transactions"/>
      <sheetName val="свод"/>
      <sheetName val="Def"/>
      <sheetName val="Securities"/>
      <sheetName val="Rollforward"/>
      <sheetName val="Payroll 2004"/>
      <sheetName val="Depreciation"/>
      <sheetName val="Summary"/>
      <sheetName val="P_L"/>
      <sheetName val="Provisions"/>
      <sheetName val="Статьи"/>
      <sheetName val="GAAP TB 31.12.01  detail p&amp;l"/>
      <sheetName val="services.01"/>
      <sheetName val="breakdown"/>
      <sheetName val="Threshold Calc"/>
      <sheetName val="FA depreciation"/>
      <sheetName val="utilities.01"/>
      <sheetName val="Лист3"/>
      <sheetName val="ТМЗ-6"/>
      <sheetName val="#ССЫЛКА"/>
      <sheetName val="Форма2"/>
      <sheetName val="поставка сравн13"/>
      <sheetName val="Нефть"/>
      <sheetName val="флормиро"/>
      <sheetName val="МодельППП (Свод)"/>
      <sheetName val="P&amp;L"/>
      <sheetName val="ввод-вывод ОС авг2004- 2005"/>
      <sheetName val="Hidden"/>
      <sheetName val="сброс"/>
      <sheetName val="material realised"/>
      <sheetName val="electricity"/>
      <sheetName val="Balance Sheet"/>
      <sheetName val="FES"/>
      <sheetName val="Добыча нефти4"/>
      <sheetName val="Rollfwd PBC"/>
      <sheetName val="Additions"/>
      <sheetName val="База"/>
      <sheetName val="Сеть"/>
      <sheetName val="Гр5(о)"/>
      <sheetName val="Input_2"/>
      <sheetName val="2007 0,01"/>
      <sheetName val="BS"/>
      <sheetName val="Репо_Пасс(банки)"/>
      <sheetName val="B 1"/>
      <sheetName val="A 100"/>
      <sheetName val="FA movement schedule"/>
      <sheetName val="FA_summary"/>
      <sheetName val="9 мес 2006 Еркен заполни здесь"/>
    </sheetNames>
    <sheetDataSet>
      <sheetData sheetId="0">
        <row r="20">
          <cell r="E20">
            <v>121332</v>
          </cell>
        </row>
      </sheetData>
      <sheetData sheetId="1">
        <row r="20">
          <cell r="E20">
            <v>121332</v>
          </cell>
        </row>
      </sheetData>
      <sheetData sheetId="2">
        <row r="20">
          <cell r="E20">
            <v>121332</v>
          </cell>
        </row>
      </sheetData>
      <sheetData sheetId="3" refreshError="1"/>
      <sheetData sheetId="4">
        <row r="20">
          <cell r="E20">
            <v>121332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Баланс"/>
      <sheetName val="Нефть"/>
      <sheetName val="Форма2"/>
      <sheetName val="поставка сравн13"/>
      <sheetName val="ОТиТБ"/>
      <sheetName val="LME_prices"/>
      <sheetName val="группа"/>
      <sheetName val="Исходн"/>
      <sheetName val="СписокТЭП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отр"/>
      <sheetName val="СН"/>
      <sheetName val="Потребители"/>
      <sheetName val="Блоки"/>
      <sheetName val="Пок"/>
      <sheetName val="NOV"/>
      <sheetName val="Пр2"/>
      <sheetName val="FES"/>
      <sheetName val="предприятия"/>
      <sheetName val="Добыча нефти4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#REF"/>
      <sheetName val="L-1 (БРК)"/>
      <sheetName val="g-1"/>
      <sheetName val="Лист3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t0_name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Лист 1"/>
      <sheetName val="Ввод"/>
      <sheetName val="д.7.001"/>
      <sheetName val="list"/>
      <sheetName val="Сдача "/>
      <sheetName val="ОборБалФормОтч"/>
      <sheetName val="МО 0012"/>
      <sheetName val="Бюджет"/>
      <sheetName val="Assumptions"/>
      <sheetName val="СПгнг"/>
      <sheetName val="ведомость"/>
      <sheetName val="12 из 57 АЗС"/>
      <sheetName val="Loans out"/>
      <sheetName val="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Отпуск продукции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N_SVOD"/>
      <sheetName val="5NK "/>
      <sheetName val="по 2007 году план на 2008 год"/>
      <sheetName val="Труд."/>
      <sheetName val="Сеть"/>
      <sheetName val="Спецификация"/>
      <sheetName val="МодельППП (Свод)"/>
      <sheetName val="БиВи (290)"/>
      <sheetName val="450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МАТЕР.433,452"/>
      <sheetName val="1. Доходы"/>
      <sheetName val="Гр5(о)"/>
      <sheetName val="PL12"/>
      <sheetName val="PV-date"/>
      <sheetName val="табель"/>
      <sheetName val="Способ закупки"/>
      <sheetName val="7НК"/>
      <sheetName val="indx"/>
      <sheetName val="Транс12дек"/>
      <sheetName val="AFS"/>
      <sheetName val="смета"/>
      <sheetName val="Additions testing"/>
      <sheetName val="Movement schedule"/>
      <sheetName val="depreciation testing"/>
      <sheetName val="спр. АРЕМ"/>
      <sheetName val="_"/>
      <sheetName val="FA Movement "/>
      <sheetName val="форма 3 смета затрат"/>
      <sheetName val="Заявлени+сдач.обх.по 22.02.12"/>
      <sheetName val="Месяц"/>
      <sheetName val="зоны"/>
      <sheetName val="баки _2_"/>
      <sheetName val="1_x0004__x0000__x0007__x0000__x0006__x0000__x000e__x0000_"/>
      <sheetName val=" _x0000_"/>
      <sheetName val="_x0009__x0000_"/>
      <sheetName val="Тип пункта плана"/>
      <sheetName val="распределение модели"/>
      <sheetName val="исходА"/>
      <sheetName val="Dictionaries"/>
      <sheetName val="4.Налоги"/>
      <sheetName val="путевки"/>
      <sheetName val="Comp"/>
      <sheetName val="показатели"/>
      <sheetName val="Январь"/>
      <sheetName val="Статьи_затрат"/>
      <sheetName val="Изменяемые_данные"/>
      <sheetName val="мат_расходы"/>
      <sheetName val="факт_2005_г_"/>
      <sheetName val="ИП_ДО_БЛ_"/>
      <sheetName val="аренда_цс"/>
      <sheetName val="14_1_2_2_(Услуги_связи)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базовые_допущения"/>
      <sheetName val="3_ФОТ"/>
      <sheetName val="исп.см."/>
      <sheetName val="KTG_m"/>
      <sheetName val="Сдача_"/>
      <sheetName val="постоянные_затраты"/>
      <sheetName val="7_1"/>
      <sheetName val="12_из_57_АЗС"/>
      <sheetName val="Справка ИЦА"/>
      <sheetName val="Sheet2"/>
      <sheetName val="РСза 6-м 2012"/>
      <sheetName val="июнь"/>
      <sheetName val="КОнфиг"/>
      <sheetName val="Data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Налоги"/>
      <sheetName val="план07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2_2_ОтклОТМ"/>
      <sheetName val="1_3_2_ОТМ"/>
      <sheetName val="1кв__"/>
      <sheetName val="2кв_"/>
      <sheetName val="__2_3_24"/>
      <sheetName val="МО_0012"/>
      <sheetName val="1,3_новая"/>
      <sheetName val="13_NGDO"/>
      <sheetName val="жд_тарифы"/>
      <sheetName val="2_БО_(тенге)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I__Прогноз_доходов"/>
      <sheetName val="Input_TD"/>
      <sheetName val="Содерж_сов_дир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РСза_6-м_2012"/>
      <sheetName val="Справка_ИЦА"/>
      <sheetName val="Способ_закупки"/>
      <sheetName val="Отпуск_продукции"/>
      <sheetName val="K_100_LS (2)"/>
      <sheetName val="H3.300 (2)"/>
      <sheetName val="K_300_RFD (2)"/>
      <sheetName val="SMSTemp"/>
      <sheetName val="ТитулЛистОтч"/>
      <sheetName val="definitions"/>
      <sheetName val="цеховые"/>
      <sheetName val="ЭМГ"/>
      <sheetName val="14_1_2_2__Услуги связи_"/>
      <sheetName val="Common"/>
      <sheetName val="OPEX&amp;FIN"/>
      <sheetName val="черновик"/>
      <sheetName val="2в"/>
      <sheetName val="общ-нефт"/>
      <sheetName val="ОГВ"/>
      <sheetName val="общ.фонд  "/>
      <sheetName val="гор"/>
      <sheetName val="АУП командировочные"/>
      <sheetName val="сетка"/>
      <sheetName val="Касс книга"/>
      <sheetName val="персонала"/>
      <sheetName val="Loans_out"/>
      <sheetName val="Форма2_xls"/>
      <sheetName val="5NK_"/>
      <sheetName val="по_2007_году_план_на_2008_год"/>
      <sheetName val="Труд_"/>
      <sheetName val="МодельППП_(Свод)"/>
      <sheetName val="БиВи_(290)"/>
      <sheetName val="МАТЕР_433,452"/>
      <sheetName val="1__Доходы"/>
      <sheetName val="спр__АРЕМ"/>
      <sheetName val="Additions_testing"/>
      <sheetName val="Movement_schedule"/>
      <sheetName val="depreciation_testing"/>
      <sheetName val="FA_Movement_"/>
      <sheetName val="Заявлени+сдач_обх_по_22_02_12"/>
      <sheetName val="баки__2_"/>
      <sheetName val="_"/>
      <sheetName val="Treatment Summary"/>
      <sheetName val="cash product. 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 refreshError="1"/>
      <sheetData sheetId="474" refreshError="1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20 (опер)"/>
      <sheetName val="фев20 (опер)"/>
      <sheetName val="март20 (опер)"/>
      <sheetName val="март20 (факт)"/>
      <sheetName val="апрель20 (опер)"/>
      <sheetName val="май20 (опер)"/>
      <sheetName val="июнь20 (опер)"/>
      <sheetName val="июнь20 (факт)"/>
      <sheetName val="июль20 (опер)"/>
      <sheetName val="август20 (опер)"/>
      <sheetName val="сент20 (опер)"/>
      <sheetName val="сент20 (факт)"/>
      <sheetName val="окт20 (опер)"/>
      <sheetName val="нояб20 (опер)"/>
      <sheetName val="дек20 (опер)"/>
      <sheetName val="дек20 (факт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35">
          <cell r="AF435">
            <v>5980693.3046035692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3">
          <cell r="M3">
            <v>440158.55511607142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7A1EB-021E-463C-987C-E7120D12F970}">
  <dimension ref="A1:BT502"/>
  <sheetViews>
    <sheetView tabSelected="1" zoomScale="55" zoomScaleNormal="55" workbookViewId="0">
      <pane xSplit="4" ySplit="8" topLeftCell="E59" activePane="bottomRight" state="frozen"/>
      <selection pane="topRight" activeCell="E1" sqref="E1"/>
      <selection pane="bottomLeft" activeCell="A9" sqref="A9"/>
      <selection pane="bottomRight" activeCell="AF104" sqref="AF104:AF106"/>
    </sheetView>
  </sheetViews>
  <sheetFormatPr defaultColWidth="9.1796875" defaultRowHeight="13" outlineLevelRow="1" outlineLevelCol="2" x14ac:dyDescent="0.35"/>
  <cols>
    <col min="1" max="1" width="3.453125" style="1" customWidth="1"/>
    <col min="2" max="2" width="39" style="2" customWidth="1"/>
    <col min="3" max="3" width="15.7265625" style="2" customWidth="1"/>
    <col min="4" max="4" width="11.54296875" style="2" customWidth="1"/>
    <col min="5" max="5" width="10" style="3" customWidth="1"/>
    <col min="6" max="6" width="10.26953125" style="3" customWidth="1"/>
    <col min="7" max="7" width="7.453125" style="4" customWidth="1"/>
    <col min="8" max="8" width="6.7265625" style="5" customWidth="1"/>
    <col min="9" max="9" width="10.1796875" style="3" customWidth="1"/>
    <col min="10" max="10" width="10.453125" style="3" customWidth="1"/>
    <col min="11" max="11" width="21" style="6" customWidth="1"/>
    <col min="12" max="12" width="16.453125" style="2" customWidth="1"/>
    <col min="13" max="13" width="8.453125" style="4" customWidth="1"/>
    <col min="14" max="15" width="18.26953125" style="7" hidden="1" customWidth="1" outlineLevel="1"/>
    <col min="16" max="16" width="17.54296875" style="7" customWidth="1" collapsed="1"/>
    <col min="17" max="17" width="17.54296875" style="7" customWidth="1"/>
    <col min="18" max="18" width="8.81640625" style="8" customWidth="1"/>
    <col min="19" max="19" width="6.26953125" style="5" customWidth="1"/>
    <col min="20" max="21" width="9.1796875" style="3" hidden="1" customWidth="1" outlineLevel="2"/>
    <col min="22" max="22" width="4.26953125" style="3" hidden="1" customWidth="1" outlineLevel="2"/>
    <col min="23" max="23" width="10.26953125" style="3" hidden="1" customWidth="1" collapsed="1"/>
    <col min="24" max="24" width="10" style="3" hidden="1" customWidth="1"/>
    <col min="25" max="25" width="5.453125" style="3" hidden="1" customWidth="1"/>
    <col min="26" max="27" width="10" style="3" hidden="1" customWidth="1" outlineLevel="1"/>
    <col min="28" max="28" width="5.453125" style="3" hidden="1" customWidth="1" outlineLevel="1"/>
    <col min="29" max="29" width="10.26953125" style="3" customWidth="1" collapsed="1"/>
    <col min="30" max="30" width="13.453125" style="3" customWidth="1"/>
    <col min="31" max="31" width="13.36328125" style="3" customWidth="1"/>
    <col min="32" max="32" width="15.453125" style="3" bestFit="1" customWidth="1"/>
    <col min="33" max="33" width="13.453125" style="5" customWidth="1"/>
    <col min="34" max="34" width="10.453125" style="3" customWidth="1"/>
    <col min="35" max="35" width="14.26953125" style="9" customWidth="1"/>
    <col min="36" max="36" width="11" style="9" customWidth="1"/>
    <col min="37" max="37" width="7.1796875" style="9" customWidth="1"/>
    <col min="38" max="38" width="9" style="1" customWidth="1"/>
    <col min="39" max="39" width="12.453125" style="10" customWidth="1"/>
    <col min="40" max="40" width="13" style="10" customWidth="1"/>
    <col min="41" max="41" width="15.81640625" style="10" customWidth="1"/>
    <col min="42" max="43" width="12.54296875" style="5" hidden="1" customWidth="1" outlineLevel="1"/>
    <col min="44" max="44" width="7.1796875" style="5" hidden="1" customWidth="1" outlineLevel="1"/>
    <col min="45" max="45" width="10.54296875" style="5" customWidth="1" collapsed="1"/>
    <col min="46" max="46" width="11.1796875" style="5" customWidth="1"/>
    <col min="47" max="47" width="13.54296875" style="5" hidden="1" customWidth="1" outlineLevel="1"/>
    <col min="48" max="48" width="11" style="5" customWidth="1" collapsed="1"/>
    <col min="49" max="49" width="13" style="5" hidden="1" customWidth="1" outlineLevel="1"/>
    <col min="50" max="51" width="11.7265625" style="5" hidden="1" customWidth="1" outlineLevel="1"/>
    <col min="52" max="52" width="10.7265625" style="5" customWidth="1" collapsed="1"/>
    <col min="53" max="53" width="14.81640625" style="5" hidden="1" customWidth="1" outlineLevel="1"/>
    <col min="54" max="54" width="12.54296875" style="5" hidden="1" customWidth="1" outlineLevel="1"/>
    <col min="55" max="55" width="10.54296875" style="5" hidden="1" customWidth="1" outlineLevel="1"/>
    <col min="56" max="56" width="11.54296875" style="5" hidden="1" customWidth="1" outlineLevel="1"/>
    <col min="57" max="57" width="15.26953125" style="5" customWidth="1" collapsed="1"/>
    <col min="58" max="58" width="10.453125" style="5" customWidth="1"/>
    <col min="59" max="59" width="17.453125" style="1" customWidth="1"/>
    <col min="60" max="60" width="12" style="1" hidden="1" customWidth="1" outlineLevel="1"/>
    <col min="61" max="61" width="17.81640625" style="1" hidden="1" customWidth="1" outlineLevel="1"/>
    <col min="62" max="62" width="23.26953125" style="1" hidden="1" customWidth="1" outlineLevel="1"/>
    <col min="63" max="63" width="18.453125" style="1" hidden="1" customWidth="1" outlineLevel="1"/>
    <col min="64" max="64" width="11.26953125" style="1" hidden="1" customWidth="1" outlineLevel="1"/>
    <col min="65" max="65" width="11.1796875" style="1" hidden="1" customWidth="1" outlineLevel="1"/>
    <col min="66" max="66" width="11.453125" style="1" hidden="1" customWidth="1" outlineLevel="1"/>
    <col min="67" max="67" width="13.7265625" style="1" hidden="1" customWidth="1" outlineLevel="1"/>
    <col min="68" max="68" width="12.453125" style="1" hidden="1" customWidth="1" outlineLevel="1"/>
    <col min="69" max="69" width="24.453125" style="4" hidden="1" customWidth="1" collapsed="1"/>
    <col min="70" max="70" width="17.1796875" style="12" hidden="1" customWidth="1"/>
    <col min="71" max="71" width="9.1796875" style="1" hidden="1" customWidth="1"/>
    <col min="72" max="16384" width="9.1796875" style="1"/>
  </cols>
  <sheetData>
    <row r="1" spans="1:71" ht="16.5" customHeight="1" x14ac:dyDescent="0.35">
      <c r="BF1" s="11" t="s">
        <v>0</v>
      </c>
    </row>
    <row r="2" spans="1:71" s="13" customFormat="1" ht="39" customHeight="1" x14ac:dyDescent="0.35">
      <c r="B2" s="14"/>
      <c r="C2" s="14"/>
      <c r="E2" s="638" t="s">
        <v>1</v>
      </c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15"/>
      <c r="U2" s="15"/>
      <c r="V2" s="15"/>
      <c r="W2" s="15"/>
      <c r="X2" s="15"/>
      <c r="Y2" s="15"/>
      <c r="Z2" s="15"/>
      <c r="AA2" s="15"/>
      <c r="AB2" s="15"/>
      <c r="AC2" s="15"/>
      <c r="AD2" s="16"/>
      <c r="AE2" s="16"/>
      <c r="AF2" s="15"/>
      <c r="AG2" s="17"/>
      <c r="AH2" s="15"/>
      <c r="AI2" s="18"/>
      <c r="AJ2" s="18"/>
      <c r="AK2" s="18"/>
      <c r="AL2" s="19"/>
      <c r="AM2" s="20"/>
      <c r="AN2" s="20"/>
      <c r="AO2" s="20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1" t="s">
        <v>2</v>
      </c>
      <c r="BG2" s="19"/>
      <c r="BH2" s="19"/>
      <c r="BI2" s="19"/>
      <c r="BJ2" s="19"/>
      <c r="BK2" s="19"/>
      <c r="BL2" s="19"/>
      <c r="BM2" s="19"/>
      <c r="BN2" s="19"/>
      <c r="BQ2" s="21"/>
      <c r="BR2" s="12"/>
    </row>
    <row r="3" spans="1:71" ht="29.25" hidden="1" customHeight="1" x14ac:dyDescent="0.35">
      <c r="AW3" s="22"/>
      <c r="AZ3" s="22"/>
      <c r="BG3" s="23" t="s">
        <v>3</v>
      </c>
      <c r="BN3" s="23"/>
    </row>
    <row r="4" spans="1:71" ht="28.5" customHeight="1" x14ac:dyDescent="0.35">
      <c r="A4" s="639" t="s">
        <v>4</v>
      </c>
      <c r="B4" s="640" t="s">
        <v>5</v>
      </c>
      <c r="C4" s="640" t="s">
        <v>6</v>
      </c>
      <c r="D4" s="640" t="s">
        <v>7</v>
      </c>
      <c r="E4" s="616" t="s">
        <v>8</v>
      </c>
      <c r="F4" s="616"/>
      <c r="G4" s="616"/>
      <c r="H4" s="616"/>
      <c r="I4" s="616"/>
      <c r="J4" s="616"/>
      <c r="K4" s="616" t="s">
        <v>9</v>
      </c>
      <c r="L4" s="616"/>
      <c r="M4" s="616"/>
      <c r="N4" s="616"/>
      <c r="O4" s="616"/>
      <c r="P4" s="616"/>
      <c r="Q4" s="616"/>
      <c r="R4" s="616"/>
      <c r="S4" s="616"/>
      <c r="T4" s="634" t="s">
        <v>10</v>
      </c>
      <c r="U4" s="635"/>
      <c r="V4" s="635"/>
      <c r="W4" s="635"/>
      <c r="X4" s="635"/>
      <c r="Y4" s="635"/>
      <c r="Z4" s="635"/>
      <c r="AA4" s="635"/>
      <c r="AB4" s="636"/>
      <c r="AC4" s="616" t="s">
        <v>11</v>
      </c>
      <c r="AD4" s="616"/>
      <c r="AE4" s="616"/>
      <c r="AF4" s="616"/>
      <c r="AG4" s="616"/>
      <c r="AH4" s="616"/>
      <c r="AI4" s="616"/>
      <c r="AJ4" s="616"/>
      <c r="AK4" s="616"/>
      <c r="AL4" s="616"/>
      <c r="AM4" s="616" t="s">
        <v>12</v>
      </c>
      <c r="AN4" s="616"/>
      <c r="AO4" s="616"/>
      <c r="AP4" s="637" t="s">
        <v>13</v>
      </c>
      <c r="AQ4" s="637"/>
      <c r="AR4" s="637"/>
      <c r="AS4" s="616" t="s">
        <v>14</v>
      </c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25" t="s">
        <v>15</v>
      </c>
      <c r="BH4" s="26"/>
      <c r="BI4" s="629" t="s">
        <v>16</v>
      </c>
      <c r="BJ4" s="629"/>
      <c r="BK4" s="629"/>
      <c r="BL4" s="629" t="s">
        <v>17</v>
      </c>
      <c r="BM4" s="629"/>
      <c r="BN4" s="629" t="s">
        <v>18</v>
      </c>
      <c r="BQ4" s="27"/>
      <c r="BR4" s="28"/>
      <c r="BS4" s="29" t="s">
        <v>19</v>
      </c>
    </row>
    <row r="5" spans="1:71" ht="34.5" customHeight="1" x14ac:dyDescent="0.35">
      <c r="A5" s="639"/>
      <c r="B5" s="641"/>
      <c r="C5" s="641"/>
      <c r="D5" s="641"/>
      <c r="E5" s="630" t="s">
        <v>20</v>
      </c>
      <c r="F5" s="630"/>
      <c r="G5" s="630" t="s">
        <v>21</v>
      </c>
      <c r="H5" s="631" t="s">
        <v>22</v>
      </c>
      <c r="I5" s="616" t="s">
        <v>23</v>
      </c>
      <c r="J5" s="616"/>
      <c r="K5" s="616" t="s">
        <v>24</v>
      </c>
      <c r="L5" s="616" t="s">
        <v>25</v>
      </c>
      <c r="M5" s="616" t="s">
        <v>26</v>
      </c>
      <c r="N5" s="625" t="s">
        <v>27</v>
      </c>
      <c r="O5" s="625"/>
      <c r="P5" s="625"/>
      <c r="Q5" s="625"/>
      <c r="R5" s="643" t="s">
        <v>28</v>
      </c>
      <c r="S5" s="616" t="s">
        <v>29</v>
      </c>
      <c r="T5" s="616" t="s">
        <v>30</v>
      </c>
      <c r="U5" s="616"/>
      <c r="V5" s="616"/>
      <c r="W5" s="616" t="s">
        <v>31</v>
      </c>
      <c r="X5" s="616"/>
      <c r="Y5" s="616"/>
      <c r="Z5" s="616" t="s">
        <v>32</v>
      </c>
      <c r="AA5" s="616"/>
      <c r="AB5" s="616"/>
      <c r="AC5" s="616" t="s">
        <v>33</v>
      </c>
      <c r="AD5" s="616"/>
      <c r="AE5" s="616"/>
      <c r="AF5" s="616" t="s">
        <v>34</v>
      </c>
      <c r="AG5" s="616"/>
      <c r="AH5" s="616"/>
      <c r="AI5" s="616" t="s">
        <v>35</v>
      </c>
      <c r="AJ5" s="616"/>
      <c r="AK5" s="616"/>
      <c r="AL5" s="616"/>
      <c r="AM5" s="616"/>
      <c r="AN5" s="616"/>
      <c r="AO5" s="616"/>
      <c r="AP5" s="637"/>
      <c r="AQ5" s="637"/>
      <c r="AR5" s="637"/>
      <c r="AS5" s="616" t="s">
        <v>36</v>
      </c>
      <c r="AT5" s="616" t="s">
        <v>37</v>
      </c>
      <c r="AU5" s="616" t="s">
        <v>38</v>
      </c>
      <c r="AV5" s="616" t="s">
        <v>39</v>
      </c>
      <c r="AW5" s="616" t="s">
        <v>40</v>
      </c>
      <c r="AX5" s="616" t="s">
        <v>41</v>
      </c>
      <c r="AY5" s="616" t="s">
        <v>42</v>
      </c>
      <c r="AZ5" s="616" t="s">
        <v>43</v>
      </c>
      <c r="BA5" s="616" t="s">
        <v>44</v>
      </c>
      <c r="BB5" s="616" t="s">
        <v>45</v>
      </c>
      <c r="BC5" s="616" t="s">
        <v>46</v>
      </c>
      <c r="BD5" s="616" t="s">
        <v>47</v>
      </c>
      <c r="BE5" s="616" t="s">
        <v>48</v>
      </c>
      <c r="BF5" s="616" t="s">
        <v>49</v>
      </c>
      <c r="BG5" s="616" t="s">
        <v>50</v>
      </c>
      <c r="BH5" s="616" t="s">
        <v>51</v>
      </c>
      <c r="BI5" s="616" t="s">
        <v>52</v>
      </c>
      <c r="BJ5" s="616" t="s">
        <v>53</v>
      </c>
      <c r="BK5" s="616" t="s">
        <v>54</v>
      </c>
      <c r="BL5" s="616" t="s">
        <v>55</v>
      </c>
      <c r="BM5" s="616" t="s">
        <v>56</v>
      </c>
      <c r="BN5" s="629"/>
      <c r="BQ5" s="27"/>
      <c r="BR5" s="28"/>
      <c r="BS5" s="31"/>
    </row>
    <row r="6" spans="1:71" ht="58.5" customHeight="1" x14ac:dyDescent="0.35">
      <c r="A6" s="639"/>
      <c r="B6" s="641"/>
      <c r="C6" s="641"/>
      <c r="D6" s="641"/>
      <c r="E6" s="630"/>
      <c r="F6" s="630"/>
      <c r="G6" s="630"/>
      <c r="H6" s="632"/>
      <c r="I6" s="616"/>
      <c r="J6" s="616"/>
      <c r="K6" s="616"/>
      <c r="L6" s="616"/>
      <c r="M6" s="616"/>
      <c r="N6" s="625" t="s">
        <v>57</v>
      </c>
      <c r="O6" s="625"/>
      <c r="P6" s="625" t="s">
        <v>58</v>
      </c>
      <c r="Q6" s="625"/>
      <c r="R6" s="644"/>
      <c r="S6" s="616"/>
      <c r="T6" s="616" t="s">
        <v>59</v>
      </c>
      <c r="U6" s="616"/>
      <c r="V6" s="616" t="s">
        <v>60</v>
      </c>
      <c r="W6" s="616" t="s">
        <v>59</v>
      </c>
      <c r="X6" s="616"/>
      <c r="Y6" s="616" t="s">
        <v>60</v>
      </c>
      <c r="Z6" s="616" t="s">
        <v>59</v>
      </c>
      <c r="AA6" s="616"/>
      <c r="AB6" s="616" t="s">
        <v>60</v>
      </c>
      <c r="AC6" s="616" t="s">
        <v>59</v>
      </c>
      <c r="AD6" s="616"/>
      <c r="AE6" s="616" t="s">
        <v>60</v>
      </c>
      <c r="AF6" s="616" t="s">
        <v>59</v>
      </c>
      <c r="AG6" s="616"/>
      <c r="AH6" s="616" t="s">
        <v>60</v>
      </c>
      <c r="AI6" s="626" t="s">
        <v>59</v>
      </c>
      <c r="AJ6" s="626"/>
      <c r="AK6" s="627" t="s">
        <v>60</v>
      </c>
      <c r="AL6" s="616" t="s">
        <v>61</v>
      </c>
      <c r="AM6" s="616" t="s">
        <v>62</v>
      </c>
      <c r="AN6" s="616" t="s">
        <v>63</v>
      </c>
      <c r="AO6" s="616" t="s">
        <v>64</v>
      </c>
      <c r="AP6" s="616" t="s">
        <v>59</v>
      </c>
      <c r="AQ6" s="616"/>
      <c r="AR6" s="616" t="s">
        <v>60</v>
      </c>
      <c r="AS6" s="616"/>
      <c r="AT6" s="616"/>
      <c r="AU6" s="616"/>
      <c r="AV6" s="616"/>
      <c r="AW6" s="616"/>
      <c r="AX6" s="616"/>
      <c r="AY6" s="616"/>
      <c r="AZ6" s="616"/>
      <c r="BA6" s="616"/>
      <c r="BB6" s="616"/>
      <c r="BC6" s="616"/>
      <c r="BD6" s="616"/>
      <c r="BE6" s="616"/>
      <c r="BF6" s="616"/>
      <c r="BG6" s="616"/>
      <c r="BH6" s="616"/>
      <c r="BI6" s="616"/>
      <c r="BJ6" s="616"/>
      <c r="BK6" s="616"/>
      <c r="BL6" s="616"/>
      <c r="BM6" s="616"/>
      <c r="BN6" s="629"/>
      <c r="BQ6" s="27"/>
      <c r="BR6" s="28"/>
      <c r="BS6" s="31"/>
    </row>
    <row r="7" spans="1:71" x14ac:dyDescent="0.35">
      <c r="A7" s="639"/>
      <c r="B7" s="642"/>
      <c r="C7" s="642"/>
      <c r="D7" s="642"/>
      <c r="E7" s="24" t="s">
        <v>65</v>
      </c>
      <c r="F7" s="24" t="s">
        <v>66</v>
      </c>
      <c r="G7" s="630"/>
      <c r="H7" s="633"/>
      <c r="I7" s="24" t="s">
        <v>65</v>
      </c>
      <c r="J7" s="24" t="s">
        <v>66</v>
      </c>
      <c r="K7" s="616"/>
      <c r="L7" s="616"/>
      <c r="M7" s="616"/>
      <c r="N7" s="30" t="s">
        <v>65</v>
      </c>
      <c r="O7" s="30" t="s">
        <v>66</v>
      </c>
      <c r="P7" s="30" t="s">
        <v>65</v>
      </c>
      <c r="Q7" s="30" t="s">
        <v>66</v>
      </c>
      <c r="R7" s="645"/>
      <c r="S7" s="616"/>
      <c r="T7" s="33" t="s">
        <v>65</v>
      </c>
      <c r="U7" s="33" t="s">
        <v>66</v>
      </c>
      <c r="V7" s="616"/>
      <c r="W7" s="33" t="s">
        <v>65</v>
      </c>
      <c r="X7" s="33" t="s">
        <v>66</v>
      </c>
      <c r="Y7" s="616"/>
      <c r="Z7" s="33" t="s">
        <v>65</v>
      </c>
      <c r="AA7" s="33" t="s">
        <v>66</v>
      </c>
      <c r="AB7" s="616"/>
      <c r="AC7" s="24" t="s">
        <v>65</v>
      </c>
      <c r="AD7" s="24" t="s">
        <v>66</v>
      </c>
      <c r="AE7" s="616"/>
      <c r="AF7" s="24" t="s">
        <v>65</v>
      </c>
      <c r="AG7" s="24" t="s">
        <v>66</v>
      </c>
      <c r="AH7" s="616"/>
      <c r="AI7" s="32" t="s">
        <v>65</v>
      </c>
      <c r="AJ7" s="32" t="s">
        <v>66</v>
      </c>
      <c r="AK7" s="628"/>
      <c r="AL7" s="616"/>
      <c r="AM7" s="616"/>
      <c r="AN7" s="616"/>
      <c r="AO7" s="616"/>
      <c r="AP7" s="24" t="s">
        <v>65</v>
      </c>
      <c r="AQ7" s="24" t="s">
        <v>66</v>
      </c>
      <c r="AR7" s="616"/>
      <c r="AS7" s="34" t="s">
        <v>67</v>
      </c>
      <c r="AT7" s="34" t="s">
        <v>67</v>
      </c>
      <c r="AU7" s="34" t="s">
        <v>68</v>
      </c>
      <c r="AV7" s="34" t="s">
        <v>68</v>
      </c>
      <c r="AW7" s="34" t="s">
        <v>68</v>
      </c>
      <c r="AX7" s="34" t="s">
        <v>68</v>
      </c>
      <c r="AY7" s="34" t="s">
        <v>68</v>
      </c>
      <c r="AZ7" s="34" t="s">
        <v>69</v>
      </c>
      <c r="BA7" s="34" t="s">
        <v>69</v>
      </c>
      <c r="BB7" s="34" t="s">
        <v>69</v>
      </c>
      <c r="BC7" s="34" t="s">
        <v>68</v>
      </c>
      <c r="BD7" s="34" t="s">
        <v>68</v>
      </c>
      <c r="BE7" s="34" t="s">
        <v>68</v>
      </c>
      <c r="BF7" s="34" t="s">
        <v>70</v>
      </c>
      <c r="BG7" s="616"/>
      <c r="BH7" s="616"/>
      <c r="BI7" s="616"/>
      <c r="BJ7" s="616"/>
      <c r="BK7" s="616"/>
      <c r="BL7" s="616"/>
      <c r="BM7" s="616"/>
      <c r="BN7" s="629"/>
      <c r="BQ7" s="27"/>
      <c r="BR7" s="28"/>
      <c r="BS7" s="31"/>
    </row>
    <row r="8" spans="1:71" s="4" customFormat="1" x14ac:dyDescent="0.35">
      <c r="A8" s="27">
        <v>1</v>
      </c>
      <c r="B8" s="27">
        <v>2</v>
      </c>
      <c r="C8" s="27">
        <v>3</v>
      </c>
      <c r="D8" s="27">
        <v>4</v>
      </c>
      <c r="E8" s="35">
        <v>5</v>
      </c>
      <c r="F8" s="35">
        <v>6</v>
      </c>
      <c r="G8" s="27">
        <v>7</v>
      </c>
      <c r="H8" s="35">
        <v>8</v>
      </c>
      <c r="I8" s="35">
        <v>9</v>
      </c>
      <c r="J8" s="35">
        <v>10</v>
      </c>
      <c r="K8" s="36">
        <v>11</v>
      </c>
      <c r="L8" s="27">
        <v>12</v>
      </c>
      <c r="M8" s="27">
        <v>13</v>
      </c>
      <c r="N8" s="37">
        <v>14</v>
      </c>
      <c r="O8" s="37">
        <v>15</v>
      </c>
      <c r="P8" s="35">
        <v>15</v>
      </c>
      <c r="Q8" s="35">
        <v>16</v>
      </c>
      <c r="R8" s="38">
        <v>17</v>
      </c>
      <c r="S8" s="35">
        <v>18</v>
      </c>
      <c r="T8" s="35">
        <v>26</v>
      </c>
      <c r="U8" s="35">
        <v>27</v>
      </c>
      <c r="V8" s="35">
        <v>28</v>
      </c>
      <c r="W8" s="35">
        <v>19</v>
      </c>
      <c r="X8" s="35">
        <v>20</v>
      </c>
      <c r="Y8" s="35">
        <v>21</v>
      </c>
      <c r="Z8" s="35">
        <v>32</v>
      </c>
      <c r="AA8" s="35">
        <v>33</v>
      </c>
      <c r="AB8" s="35">
        <v>34</v>
      </c>
      <c r="AC8" s="35">
        <v>22</v>
      </c>
      <c r="AD8" s="35">
        <v>23</v>
      </c>
      <c r="AE8" s="35">
        <v>24</v>
      </c>
      <c r="AF8" s="35">
        <v>25</v>
      </c>
      <c r="AG8" s="35">
        <v>26</v>
      </c>
      <c r="AH8" s="35">
        <v>27</v>
      </c>
      <c r="AI8" s="39">
        <v>28</v>
      </c>
      <c r="AJ8" s="39">
        <v>29</v>
      </c>
      <c r="AK8" s="39">
        <v>30</v>
      </c>
      <c r="AL8" s="27">
        <v>31</v>
      </c>
      <c r="AM8" s="27">
        <v>32</v>
      </c>
      <c r="AN8" s="27">
        <v>33</v>
      </c>
      <c r="AO8" s="27">
        <v>34</v>
      </c>
      <c r="AP8" s="35">
        <v>50</v>
      </c>
      <c r="AQ8" s="35">
        <v>51</v>
      </c>
      <c r="AR8" s="35">
        <v>52</v>
      </c>
      <c r="AS8" s="35">
        <v>35</v>
      </c>
      <c r="AT8" s="35">
        <v>36</v>
      </c>
      <c r="AU8" s="35">
        <v>55</v>
      </c>
      <c r="AV8" s="35">
        <v>37</v>
      </c>
      <c r="AW8" s="35">
        <v>57</v>
      </c>
      <c r="AX8" s="35">
        <v>58</v>
      </c>
      <c r="AY8" s="35">
        <v>59</v>
      </c>
      <c r="AZ8" s="35">
        <v>38</v>
      </c>
      <c r="BA8" s="35">
        <v>61</v>
      </c>
      <c r="BB8" s="35">
        <v>62</v>
      </c>
      <c r="BC8" s="35">
        <v>63</v>
      </c>
      <c r="BD8" s="35">
        <v>64</v>
      </c>
      <c r="BE8" s="35">
        <v>39</v>
      </c>
      <c r="BF8" s="35">
        <v>40</v>
      </c>
      <c r="BG8" s="27">
        <v>41</v>
      </c>
      <c r="BH8" s="27">
        <v>69</v>
      </c>
      <c r="BI8" s="27">
        <v>70</v>
      </c>
      <c r="BJ8" s="27">
        <v>71</v>
      </c>
      <c r="BK8" s="27">
        <v>72</v>
      </c>
      <c r="BL8" s="27">
        <v>73</v>
      </c>
      <c r="BM8" s="27">
        <v>74</v>
      </c>
      <c r="BN8" s="27">
        <v>75</v>
      </c>
      <c r="BQ8" s="27"/>
      <c r="BR8" s="40"/>
      <c r="BS8" s="27"/>
    </row>
    <row r="9" spans="1:71" s="48" customFormat="1" x14ac:dyDescent="0.35">
      <c r="A9" s="617"/>
      <c r="B9" s="620" t="s">
        <v>71</v>
      </c>
      <c r="C9" s="41" t="s">
        <v>72</v>
      </c>
      <c r="D9" s="41" t="s">
        <v>73</v>
      </c>
      <c r="E9" s="42">
        <f>E13+E469</f>
        <v>24653416.877</v>
      </c>
      <c r="F9" s="42">
        <f>F13+F469</f>
        <v>27611826.902240001</v>
      </c>
      <c r="G9" s="43"/>
      <c r="H9" s="42"/>
      <c r="I9" s="42">
        <f>I13+I469</f>
        <v>7773585.8770000003</v>
      </c>
      <c r="J9" s="42">
        <f>J13+J469</f>
        <v>8706416.1822400019</v>
      </c>
      <c r="K9" s="44"/>
      <c r="L9" s="43"/>
      <c r="M9" s="43"/>
      <c r="N9" s="45">
        <f>N13+N469</f>
        <v>186331097621.22321</v>
      </c>
      <c r="O9" s="45">
        <f>O13+O469</f>
        <v>208690829335.77002</v>
      </c>
      <c r="P9" s="45">
        <f>P13+P469</f>
        <v>186331097621.22321</v>
      </c>
      <c r="Q9" s="45">
        <f>Q13+Q469</f>
        <v>208690829335.77002</v>
      </c>
      <c r="R9" s="43"/>
      <c r="S9" s="42"/>
      <c r="T9" s="42">
        <f>T13+T469</f>
        <v>0</v>
      </c>
      <c r="U9" s="42">
        <f>U13+U469</f>
        <v>0</v>
      </c>
      <c r="V9" s="42"/>
      <c r="W9" s="42">
        <f>W13+W469</f>
        <v>8358098</v>
      </c>
      <c r="X9" s="42">
        <f>X13+X469</f>
        <v>9361069.7600000016</v>
      </c>
      <c r="Y9" s="42"/>
      <c r="Z9" s="42">
        <f>Z13+Z469</f>
        <v>8358098</v>
      </c>
      <c r="AA9" s="42">
        <f>AA13+AA469</f>
        <v>9361069.7600000016</v>
      </c>
      <c r="AB9" s="42"/>
      <c r="AC9" s="42">
        <f>AC13+AC469</f>
        <v>7768490.3420000002</v>
      </c>
      <c r="AD9" s="42">
        <f>AD13+AD469</f>
        <v>8700709.1830400005</v>
      </c>
      <c r="AE9" s="42"/>
      <c r="AF9" s="42">
        <f>AF13+AF469</f>
        <v>7804879.9814762203</v>
      </c>
      <c r="AG9" s="42">
        <f>AG13+AG469</f>
        <v>8741465.5792533681</v>
      </c>
      <c r="AH9" s="42"/>
      <c r="AI9" s="42">
        <f>AI13+AI469</f>
        <v>36046.104476220855</v>
      </c>
      <c r="AJ9" s="42">
        <f>AJ13+AJ469</f>
        <v>40371.637013367363</v>
      </c>
      <c r="AK9" s="42"/>
      <c r="AL9" s="46">
        <f>IF(AC9=0,"",AF9/AC9)</f>
        <v>1.0046842614039797</v>
      </c>
      <c r="AM9" s="43">
        <f>AM13+AM469</f>
        <v>0</v>
      </c>
      <c r="AN9" s="43">
        <f>AN13+AN469</f>
        <v>129839.63499999999</v>
      </c>
      <c r="AO9" s="43">
        <f>AO13+AO469</f>
        <v>0</v>
      </c>
      <c r="AP9" s="42">
        <f>AP13+AP469</f>
        <v>7770346.2007466266</v>
      </c>
      <c r="AQ9" s="42">
        <f>AQ13+AQ469</f>
        <v>8702217.5486362223</v>
      </c>
      <c r="AR9" s="42"/>
      <c r="AS9" s="42">
        <f t="shared" ref="AS9:BF9" si="0">AS13+AS469</f>
        <v>0</v>
      </c>
      <c r="AT9" s="42">
        <f t="shared" si="0"/>
        <v>-791.03500000000417</v>
      </c>
      <c r="AU9" s="42">
        <f t="shared" si="0"/>
        <v>0</v>
      </c>
      <c r="AV9" s="42">
        <f t="shared" si="0"/>
        <v>0</v>
      </c>
      <c r="AW9" s="42">
        <f t="shared" si="0"/>
        <v>0</v>
      </c>
      <c r="AX9" s="42">
        <f t="shared" si="0"/>
        <v>0</v>
      </c>
      <c r="AY9" s="42">
        <f t="shared" si="0"/>
        <v>0</v>
      </c>
      <c r="AZ9" s="42">
        <f t="shared" si="0"/>
        <v>0</v>
      </c>
      <c r="BA9" s="42">
        <f t="shared" si="0"/>
        <v>0</v>
      </c>
      <c r="BB9" s="42">
        <f t="shared" si="0"/>
        <v>0</v>
      </c>
      <c r="BC9" s="42">
        <f t="shared" si="0"/>
        <v>0</v>
      </c>
      <c r="BD9" s="42">
        <f t="shared" si="0"/>
        <v>0</v>
      </c>
      <c r="BE9" s="42">
        <f t="shared" si="0"/>
        <v>0</v>
      </c>
      <c r="BF9" s="42">
        <f t="shared" si="0"/>
        <v>212139.43793911007</v>
      </c>
      <c r="BG9" s="43"/>
      <c r="BH9" s="43">
        <f>BH13+BH469</f>
        <v>0</v>
      </c>
      <c r="BI9" s="42">
        <f>BI13+BI469</f>
        <v>0</v>
      </c>
      <c r="BJ9" s="42">
        <f>BJ13+BJ469</f>
        <v>0</v>
      </c>
      <c r="BK9" s="42">
        <f>BK13+BK469</f>
        <v>0</v>
      </c>
      <c r="BL9" s="47"/>
      <c r="BM9" s="47"/>
      <c r="BN9" s="47"/>
      <c r="BQ9" s="49">
        <f>SUM(AS9:BF9)</f>
        <v>211348.40293911006</v>
      </c>
      <c r="BR9" s="50">
        <f>AI9-BQ9</f>
        <v>-175302.29846288922</v>
      </c>
      <c r="BS9" s="51"/>
    </row>
    <row r="10" spans="1:71" s="48" customFormat="1" x14ac:dyDescent="0.35">
      <c r="A10" s="618"/>
      <c r="B10" s="621"/>
      <c r="C10" s="41" t="s">
        <v>74</v>
      </c>
      <c r="D10" s="41" t="s">
        <v>75</v>
      </c>
      <c r="E10" s="42">
        <f>SUM(E11:E12)</f>
        <v>24767238.877</v>
      </c>
      <c r="F10" s="42">
        <f t="shared" ref="F10:BK10" si="1">SUM(F11:F12)</f>
        <v>27739307.542240001</v>
      </c>
      <c r="G10" s="43"/>
      <c r="H10" s="42"/>
      <c r="I10" s="42">
        <f t="shared" si="1"/>
        <v>8032878.0001428556</v>
      </c>
      <c r="J10" s="42">
        <f t="shared" si="1"/>
        <v>8996823.3601600006</v>
      </c>
      <c r="K10" s="44"/>
      <c r="L10" s="43"/>
      <c r="M10" s="43"/>
      <c r="N10" s="45">
        <f t="shared" si="1"/>
        <v>186331097621.22321</v>
      </c>
      <c r="O10" s="45">
        <f t="shared" si="1"/>
        <v>208690829335.77002</v>
      </c>
      <c r="P10" s="45">
        <f t="shared" si="1"/>
        <v>186331097621.22321</v>
      </c>
      <c r="Q10" s="45">
        <f t="shared" si="1"/>
        <v>208690829335.77002</v>
      </c>
      <c r="R10" s="43"/>
      <c r="S10" s="42"/>
      <c r="T10" s="42">
        <f t="shared" si="1"/>
        <v>0</v>
      </c>
      <c r="U10" s="42">
        <f t="shared" si="1"/>
        <v>0</v>
      </c>
      <c r="V10" s="42"/>
      <c r="W10" s="42">
        <f t="shared" si="1"/>
        <v>4869086.5979553582</v>
      </c>
      <c r="X10" s="42">
        <f t="shared" si="1"/>
        <v>5453376.9897099975</v>
      </c>
      <c r="Y10" s="42"/>
      <c r="Z10" s="42">
        <f t="shared" si="1"/>
        <v>4869086.5979553582</v>
      </c>
      <c r="AA10" s="42">
        <f t="shared" si="1"/>
        <v>5453376.9897099975</v>
      </c>
      <c r="AB10" s="42"/>
      <c r="AC10" s="42">
        <f t="shared" si="1"/>
        <v>8027782.0364285698</v>
      </c>
      <c r="AD10" s="42">
        <f t="shared" si="1"/>
        <v>8991115.8808000013</v>
      </c>
      <c r="AE10" s="42"/>
      <c r="AF10" s="42">
        <f t="shared" si="1"/>
        <v>7571084.4588571405</v>
      </c>
      <c r="AG10" s="42">
        <f t="shared" si="1"/>
        <v>8479614.593919998</v>
      </c>
      <c r="AH10" s="42"/>
      <c r="AI10" s="42">
        <f t="shared" si="1"/>
        <v>-427875.97757143015</v>
      </c>
      <c r="AJ10" s="42">
        <f t="shared" si="1"/>
        <v>-479221.09488000168</v>
      </c>
      <c r="AK10" s="42"/>
      <c r="AL10" s="52">
        <f t="shared" ref="AL10:AL73" si="2">IF(AC10=0,"",AF10/AC10)</f>
        <v>0.94311036653723013</v>
      </c>
      <c r="AM10" s="43">
        <f t="shared" si="1"/>
        <v>837438.72696428571</v>
      </c>
      <c r="AN10" s="43">
        <f t="shared" si="1"/>
        <v>6738397.3668928556</v>
      </c>
      <c r="AO10" s="43">
        <f t="shared" si="1"/>
        <v>0</v>
      </c>
      <c r="AP10" s="42">
        <f t="shared" si="1"/>
        <v>8604750.2721037697</v>
      </c>
      <c r="AQ10" s="42">
        <f t="shared" si="1"/>
        <v>9637281.4247562196</v>
      </c>
      <c r="AR10" s="42"/>
      <c r="AS10" s="42">
        <f t="shared" si="1"/>
        <v>0</v>
      </c>
      <c r="AT10" s="42">
        <f t="shared" si="1"/>
        <v>0</v>
      </c>
      <c r="AU10" s="42">
        <f t="shared" si="1"/>
        <v>0</v>
      </c>
      <c r="AV10" s="42">
        <f t="shared" si="1"/>
        <v>0</v>
      </c>
      <c r="AW10" s="42">
        <f t="shared" si="1"/>
        <v>0</v>
      </c>
      <c r="AX10" s="42">
        <f t="shared" si="1"/>
        <v>0</v>
      </c>
      <c r="AY10" s="42">
        <f t="shared" si="1"/>
        <v>0</v>
      </c>
      <c r="AZ10" s="42">
        <f t="shared" si="1"/>
        <v>0</v>
      </c>
      <c r="BA10" s="42">
        <f t="shared" si="1"/>
        <v>0</v>
      </c>
      <c r="BB10" s="42">
        <f t="shared" si="1"/>
        <v>0</v>
      </c>
      <c r="BC10" s="42">
        <f t="shared" si="1"/>
        <v>0</v>
      </c>
      <c r="BD10" s="42">
        <f t="shared" si="1"/>
        <v>0</v>
      </c>
      <c r="BE10" s="42">
        <f t="shared" si="1"/>
        <v>0</v>
      </c>
      <c r="BF10" s="42">
        <f t="shared" si="1"/>
        <v>0</v>
      </c>
      <c r="BG10" s="43"/>
      <c r="BH10" s="43">
        <f t="shared" si="1"/>
        <v>0</v>
      </c>
      <c r="BI10" s="42">
        <f t="shared" si="1"/>
        <v>36076.095889999997</v>
      </c>
      <c r="BJ10" s="42">
        <f t="shared" si="1"/>
        <v>6193120.4302899996</v>
      </c>
      <c r="BK10" s="42">
        <f t="shared" si="1"/>
        <v>115.42274999999999</v>
      </c>
      <c r="BL10" s="47"/>
      <c r="BM10" s="47"/>
      <c r="BN10" s="47"/>
      <c r="BQ10" s="53"/>
      <c r="BR10" s="54"/>
      <c r="BS10" s="51"/>
    </row>
    <row r="11" spans="1:71" s="62" customFormat="1" x14ac:dyDescent="0.35">
      <c r="A11" s="618"/>
      <c r="B11" s="621"/>
      <c r="C11" s="623" t="s">
        <v>74</v>
      </c>
      <c r="D11" s="55" t="s">
        <v>76</v>
      </c>
      <c r="E11" s="56">
        <f>E15+E471</f>
        <v>24767238.877</v>
      </c>
      <c r="F11" s="56">
        <f>F15+F471</f>
        <v>27739307.542240001</v>
      </c>
      <c r="G11" s="57"/>
      <c r="H11" s="56"/>
      <c r="I11" s="56">
        <f>I15+I471</f>
        <v>8032878.0001428556</v>
      </c>
      <c r="J11" s="56">
        <f>J15+J471</f>
        <v>8996823.3601600006</v>
      </c>
      <c r="K11" s="58"/>
      <c r="L11" s="57"/>
      <c r="M11" s="57"/>
      <c r="N11" s="59">
        <f>N15+N471</f>
        <v>165500942576.58035</v>
      </c>
      <c r="O11" s="59">
        <f>O15+O471</f>
        <v>185361055685.77002</v>
      </c>
      <c r="P11" s="59">
        <f>P15+P471</f>
        <v>165500942576.58035</v>
      </c>
      <c r="Q11" s="59">
        <f>Q15+Q471</f>
        <v>185361055685.77002</v>
      </c>
      <c r="R11" s="57"/>
      <c r="S11" s="56"/>
      <c r="T11" s="56">
        <f>T15+T471</f>
        <v>0</v>
      </c>
      <c r="U11" s="56">
        <f>U15+U471</f>
        <v>0</v>
      </c>
      <c r="V11" s="56"/>
      <c r="W11" s="56">
        <f>W15+W471</f>
        <v>4869086.5979553582</v>
      </c>
      <c r="X11" s="56">
        <f>X15+X471</f>
        <v>5453376.9897099975</v>
      </c>
      <c r="Y11" s="56"/>
      <c r="Z11" s="56">
        <f>Z15+Z471</f>
        <v>4869086.5979553582</v>
      </c>
      <c r="AA11" s="56">
        <f>AA15+AA471</f>
        <v>5453376.9897099975</v>
      </c>
      <c r="AB11" s="56"/>
      <c r="AC11" s="56">
        <f>AC15+AC471</f>
        <v>8027782.0364285698</v>
      </c>
      <c r="AD11" s="56">
        <f>AD15+AD471</f>
        <v>8991115.8808000013</v>
      </c>
      <c r="AE11" s="56"/>
      <c r="AF11" s="56">
        <f>AF15+AF471</f>
        <v>7571084.4588571405</v>
      </c>
      <c r="AG11" s="56">
        <f>AG15+AG471</f>
        <v>8479614.593919998</v>
      </c>
      <c r="AH11" s="56"/>
      <c r="AI11" s="56">
        <f>AI15+AI471</f>
        <v>-427875.97757143015</v>
      </c>
      <c r="AJ11" s="56">
        <f>AJ15+AJ471</f>
        <v>-479221.09488000168</v>
      </c>
      <c r="AK11" s="56"/>
      <c r="AL11" s="60">
        <f t="shared" si="2"/>
        <v>0.94311036653723013</v>
      </c>
      <c r="AM11" s="57">
        <f>AM15+AM471</f>
        <v>837438.72696428571</v>
      </c>
      <c r="AN11" s="57">
        <f>AN15+AN471</f>
        <v>6738397.3668928556</v>
      </c>
      <c r="AO11" s="57">
        <f>AO15+AO471</f>
        <v>0</v>
      </c>
      <c r="AP11" s="56">
        <f>AP15+AP471</f>
        <v>8604750.2721037697</v>
      </c>
      <c r="AQ11" s="56">
        <f>AQ15+AQ471</f>
        <v>9637281.4247562196</v>
      </c>
      <c r="AR11" s="56"/>
      <c r="AS11" s="56">
        <f t="shared" ref="AS11:BF11" si="3">AS15+AS471</f>
        <v>0</v>
      </c>
      <c r="AT11" s="56">
        <f t="shared" si="3"/>
        <v>0</v>
      </c>
      <c r="AU11" s="56">
        <f t="shared" si="3"/>
        <v>0</v>
      </c>
      <c r="AV11" s="56">
        <f t="shared" si="3"/>
        <v>0</v>
      </c>
      <c r="AW11" s="56">
        <f t="shared" si="3"/>
        <v>0</v>
      </c>
      <c r="AX11" s="56">
        <f t="shared" si="3"/>
        <v>0</v>
      </c>
      <c r="AY11" s="56">
        <f t="shared" si="3"/>
        <v>0</v>
      </c>
      <c r="AZ11" s="56">
        <f t="shared" si="3"/>
        <v>0</v>
      </c>
      <c r="BA11" s="56">
        <f t="shared" si="3"/>
        <v>0</v>
      </c>
      <c r="BB11" s="56">
        <f t="shared" si="3"/>
        <v>0</v>
      </c>
      <c r="BC11" s="56">
        <f t="shared" si="3"/>
        <v>0</v>
      </c>
      <c r="BD11" s="56">
        <f t="shared" si="3"/>
        <v>0</v>
      </c>
      <c r="BE11" s="56">
        <f t="shared" si="3"/>
        <v>0</v>
      </c>
      <c r="BF11" s="56">
        <f t="shared" si="3"/>
        <v>0</v>
      </c>
      <c r="BG11" s="57"/>
      <c r="BH11" s="57">
        <f>BH15+BH471</f>
        <v>0</v>
      </c>
      <c r="BI11" s="56">
        <f>BI15+BI471</f>
        <v>36076.095889999997</v>
      </c>
      <c r="BJ11" s="56">
        <f>BJ15+BJ471</f>
        <v>6193120.4302899996</v>
      </c>
      <c r="BK11" s="56">
        <f>BK15+BK471</f>
        <v>115.42274999999999</v>
      </c>
      <c r="BL11" s="61"/>
      <c r="BM11" s="61"/>
      <c r="BN11" s="61"/>
      <c r="BQ11" s="63"/>
      <c r="BR11" s="64"/>
      <c r="BS11" s="65"/>
    </row>
    <row r="12" spans="1:71" s="62" customFormat="1" x14ac:dyDescent="0.35">
      <c r="A12" s="619"/>
      <c r="B12" s="622"/>
      <c r="C12" s="624"/>
      <c r="D12" s="55" t="s">
        <v>77</v>
      </c>
      <c r="E12" s="56">
        <f>E16</f>
        <v>0</v>
      </c>
      <c r="F12" s="56">
        <f t="shared" ref="F12:BK12" si="4">F16</f>
        <v>0</v>
      </c>
      <c r="G12" s="57"/>
      <c r="H12" s="56"/>
      <c r="I12" s="56">
        <f t="shared" si="4"/>
        <v>0</v>
      </c>
      <c r="J12" s="56">
        <f t="shared" si="4"/>
        <v>0</v>
      </c>
      <c r="K12" s="58"/>
      <c r="L12" s="57"/>
      <c r="M12" s="57"/>
      <c r="N12" s="59">
        <f t="shared" si="4"/>
        <v>20830155044.642857</v>
      </c>
      <c r="O12" s="59">
        <f t="shared" si="4"/>
        <v>23329773650</v>
      </c>
      <c r="P12" s="59">
        <f t="shared" si="4"/>
        <v>20830155044.642857</v>
      </c>
      <c r="Q12" s="59">
        <f t="shared" si="4"/>
        <v>23329773650</v>
      </c>
      <c r="R12" s="57"/>
      <c r="S12" s="56"/>
      <c r="T12" s="56">
        <f t="shared" si="4"/>
        <v>0</v>
      </c>
      <c r="U12" s="56">
        <f t="shared" si="4"/>
        <v>0</v>
      </c>
      <c r="V12" s="56"/>
      <c r="W12" s="56">
        <f t="shared" si="4"/>
        <v>0</v>
      </c>
      <c r="X12" s="56">
        <f t="shared" si="4"/>
        <v>0</v>
      </c>
      <c r="Y12" s="56"/>
      <c r="Z12" s="56">
        <f t="shared" si="4"/>
        <v>0</v>
      </c>
      <c r="AA12" s="56">
        <f t="shared" si="4"/>
        <v>0</v>
      </c>
      <c r="AB12" s="56"/>
      <c r="AC12" s="56">
        <f t="shared" si="4"/>
        <v>0</v>
      </c>
      <c r="AD12" s="56">
        <f t="shared" si="4"/>
        <v>0</v>
      </c>
      <c r="AE12" s="56"/>
      <c r="AF12" s="56">
        <f t="shared" si="4"/>
        <v>0</v>
      </c>
      <c r="AG12" s="56">
        <f t="shared" si="4"/>
        <v>0</v>
      </c>
      <c r="AH12" s="56"/>
      <c r="AI12" s="56">
        <f t="shared" si="4"/>
        <v>0</v>
      </c>
      <c r="AJ12" s="56">
        <f t="shared" si="4"/>
        <v>0</v>
      </c>
      <c r="AK12" s="56"/>
      <c r="AL12" s="60" t="str">
        <f t="shared" si="2"/>
        <v/>
      </c>
      <c r="AM12" s="57">
        <f t="shared" si="4"/>
        <v>0</v>
      </c>
      <c r="AN12" s="57">
        <f t="shared" si="4"/>
        <v>0</v>
      </c>
      <c r="AO12" s="57">
        <f t="shared" si="4"/>
        <v>0</v>
      </c>
      <c r="AP12" s="56">
        <f t="shared" si="4"/>
        <v>0</v>
      </c>
      <c r="AQ12" s="56">
        <f t="shared" si="4"/>
        <v>0</v>
      </c>
      <c r="AR12" s="56"/>
      <c r="AS12" s="56">
        <f t="shared" si="4"/>
        <v>0</v>
      </c>
      <c r="AT12" s="56">
        <f t="shared" si="4"/>
        <v>0</v>
      </c>
      <c r="AU12" s="56">
        <f t="shared" si="4"/>
        <v>0</v>
      </c>
      <c r="AV12" s="56">
        <f t="shared" si="4"/>
        <v>0</v>
      </c>
      <c r="AW12" s="56">
        <f t="shared" si="4"/>
        <v>0</v>
      </c>
      <c r="AX12" s="56">
        <f t="shared" si="4"/>
        <v>0</v>
      </c>
      <c r="AY12" s="56">
        <f t="shared" si="4"/>
        <v>0</v>
      </c>
      <c r="AZ12" s="56">
        <f t="shared" si="4"/>
        <v>0</v>
      </c>
      <c r="BA12" s="56">
        <f t="shared" si="4"/>
        <v>0</v>
      </c>
      <c r="BB12" s="56">
        <f t="shared" si="4"/>
        <v>0</v>
      </c>
      <c r="BC12" s="56">
        <f t="shared" si="4"/>
        <v>0</v>
      </c>
      <c r="BD12" s="56">
        <f t="shared" si="4"/>
        <v>0</v>
      </c>
      <c r="BE12" s="56">
        <f t="shared" si="4"/>
        <v>0</v>
      </c>
      <c r="BF12" s="56">
        <f t="shared" si="4"/>
        <v>0</v>
      </c>
      <c r="BG12" s="57"/>
      <c r="BH12" s="57">
        <f t="shared" si="4"/>
        <v>0</v>
      </c>
      <c r="BI12" s="56">
        <f t="shared" si="4"/>
        <v>0</v>
      </c>
      <c r="BJ12" s="56">
        <f t="shared" si="4"/>
        <v>0</v>
      </c>
      <c r="BK12" s="56">
        <f t="shared" si="4"/>
        <v>0</v>
      </c>
      <c r="BL12" s="61"/>
      <c r="BM12" s="61"/>
      <c r="BN12" s="61"/>
      <c r="BQ12" s="63"/>
      <c r="BR12" s="64"/>
      <c r="BS12" s="65"/>
    </row>
    <row r="13" spans="1:71" s="73" customFormat="1" x14ac:dyDescent="0.35">
      <c r="A13" s="608"/>
      <c r="B13" s="611" t="s">
        <v>78</v>
      </c>
      <c r="C13" s="66" t="s">
        <v>72</v>
      </c>
      <c r="D13" s="66" t="s">
        <v>73</v>
      </c>
      <c r="E13" s="67">
        <f>E17+E119+E135+E23</f>
        <v>24653416.877</v>
      </c>
      <c r="F13" s="67">
        <f>F17+F119+F135+F23</f>
        <v>27611826.902240001</v>
      </c>
      <c r="G13" s="68"/>
      <c r="H13" s="67"/>
      <c r="I13" s="67">
        <f>I17+I119+I135+I23</f>
        <v>7773585.8770000003</v>
      </c>
      <c r="J13" s="67">
        <f>J17+J119+J135+J23</f>
        <v>8706416.1822400019</v>
      </c>
      <c r="K13" s="69"/>
      <c r="L13" s="68"/>
      <c r="M13" s="68"/>
      <c r="N13" s="70">
        <f>N17+N119+N135+N23</f>
        <v>186331097621.22321</v>
      </c>
      <c r="O13" s="70">
        <f>O17+O119+O135+O23</f>
        <v>208690829335.77002</v>
      </c>
      <c r="P13" s="70">
        <f>P17+P119+P135+P23</f>
        <v>186331097621.22321</v>
      </c>
      <c r="Q13" s="70">
        <f>Q17+Q119+Q135+Q23</f>
        <v>208690829335.77002</v>
      </c>
      <c r="R13" s="68"/>
      <c r="S13" s="67"/>
      <c r="T13" s="67">
        <f>T17+T119+T135+T23</f>
        <v>0</v>
      </c>
      <c r="U13" s="67">
        <f>U17+U119+U135+U23</f>
        <v>0</v>
      </c>
      <c r="V13" s="67"/>
      <c r="W13" s="67">
        <f>W17+W119+W135+W23</f>
        <v>8358098</v>
      </c>
      <c r="X13" s="67">
        <f>X17+X119+X135+X23</f>
        <v>9361069.7600000016</v>
      </c>
      <c r="Y13" s="67"/>
      <c r="Z13" s="67">
        <f>Z17+Z119+Z135+Z23</f>
        <v>8358098</v>
      </c>
      <c r="AA13" s="67">
        <f>AA17+AA119+AA135+AA23</f>
        <v>9361069.7600000016</v>
      </c>
      <c r="AB13" s="67"/>
      <c r="AC13" s="67">
        <f>AC17+AC119+AC135+AC23</f>
        <v>7768490.3420000002</v>
      </c>
      <c r="AD13" s="67">
        <f>AD17+AD119+AD135+AD23</f>
        <v>8700709.1830400005</v>
      </c>
      <c r="AE13" s="67"/>
      <c r="AF13" s="67">
        <f>AF17+AF119+AF135+AF23</f>
        <v>7804879.9814762203</v>
      </c>
      <c r="AG13" s="67">
        <f>AG17+AG119+AG135+AG23</f>
        <v>8741465.5792533681</v>
      </c>
      <c r="AH13" s="67"/>
      <c r="AI13" s="67">
        <f>AI17+AI119+AI135+AI23</f>
        <v>36046.104476220855</v>
      </c>
      <c r="AJ13" s="67">
        <f>AJ17+AJ119+AJ135+AJ23</f>
        <v>40371.637013367363</v>
      </c>
      <c r="AK13" s="67"/>
      <c r="AL13" s="71">
        <f t="shared" si="2"/>
        <v>1.0046842614039797</v>
      </c>
      <c r="AM13" s="68">
        <f>AM17+AM119+AM135+AM23</f>
        <v>0</v>
      </c>
      <c r="AN13" s="68">
        <f>AN17+AN119+AN135+AN23</f>
        <v>129839.63499999999</v>
      </c>
      <c r="AO13" s="68">
        <f>AO17+AO119+AO135+AO23</f>
        <v>0</v>
      </c>
      <c r="AP13" s="67">
        <f>AP17+AP119+AP135+AP23</f>
        <v>7770346.2007466266</v>
      </c>
      <c r="AQ13" s="67">
        <f>AQ17+AQ119+AQ135+AQ23</f>
        <v>8702217.5486362223</v>
      </c>
      <c r="AR13" s="67"/>
      <c r="AS13" s="67">
        <f t="shared" ref="AS13:BF13" si="5">AS17+AS119+AS135+AS23</f>
        <v>0</v>
      </c>
      <c r="AT13" s="67">
        <f t="shared" si="5"/>
        <v>-791.03500000000417</v>
      </c>
      <c r="AU13" s="67">
        <f t="shared" si="5"/>
        <v>0</v>
      </c>
      <c r="AV13" s="67">
        <f t="shared" si="5"/>
        <v>0</v>
      </c>
      <c r="AW13" s="67">
        <f t="shared" si="5"/>
        <v>0</v>
      </c>
      <c r="AX13" s="67">
        <f t="shared" si="5"/>
        <v>0</v>
      </c>
      <c r="AY13" s="67">
        <f t="shared" si="5"/>
        <v>0</v>
      </c>
      <c r="AZ13" s="67">
        <f t="shared" si="5"/>
        <v>0</v>
      </c>
      <c r="BA13" s="67">
        <f t="shared" si="5"/>
        <v>0</v>
      </c>
      <c r="BB13" s="67">
        <f t="shared" si="5"/>
        <v>0</v>
      </c>
      <c r="BC13" s="67">
        <f t="shared" si="5"/>
        <v>0</v>
      </c>
      <c r="BD13" s="67">
        <f t="shared" si="5"/>
        <v>0</v>
      </c>
      <c r="BE13" s="67">
        <f t="shared" si="5"/>
        <v>0</v>
      </c>
      <c r="BF13" s="67">
        <f t="shared" si="5"/>
        <v>212139.43793911007</v>
      </c>
      <c r="BG13" s="68"/>
      <c r="BH13" s="68">
        <f>BH17+BH119+BH135</f>
        <v>0</v>
      </c>
      <c r="BI13" s="67">
        <f>BI17+BI119+BI135+BI23</f>
        <v>0</v>
      </c>
      <c r="BJ13" s="67">
        <f>BJ17+BJ119+BJ135+BJ23</f>
        <v>0</v>
      </c>
      <c r="BK13" s="67">
        <f>BK17+BK119+BK135+BK23</f>
        <v>0</v>
      </c>
      <c r="BL13" s="72"/>
      <c r="BM13" s="72"/>
      <c r="BN13" s="72"/>
      <c r="BQ13" s="74">
        <f>SUM(AS13:BF13)</f>
        <v>211348.40293911006</v>
      </c>
      <c r="BR13" s="75">
        <f>AI13-BQ13</f>
        <v>-175302.29846288922</v>
      </c>
      <c r="BS13" s="76"/>
    </row>
    <row r="14" spans="1:71" s="73" customFormat="1" x14ac:dyDescent="0.35">
      <c r="A14" s="609"/>
      <c r="B14" s="612"/>
      <c r="C14" s="66" t="s">
        <v>74</v>
      </c>
      <c r="D14" s="66" t="s">
        <v>75</v>
      </c>
      <c r="E14" s="67">
        <f>SUM(E15:E16)</f>
        <v>24767238.877</v>
      </c>
      <c r="F14" s="67">
        <f>SUM(F15:F16)</f>
        <v>27739307.542240001</v>
      </c>
      <c r="G14" s="68"/>
      <c r="H14" s="67"/>
      <c r="I14" s="67">
        <f>SUM(I15:I16)</f>
        <v>8032878.0001428556</v>
      </c>
      <c r="J14" s="67">
        <f>SUM(J15:J16)</f>
        <v>8996823.3601600006</v>
      </c>
      <c r="K14" s="69"/>
      <c r="L14" s="68"/>
      <c r="M14" s="68"/>
      <c r="N14" s="70">
        <f>SUM(N15:N16)</f>
        <v>186331097621.22321</v>
      </c>
      <c r="O14" s="70">
        <f>SUM(O15:O16)</f>
        <v>208690829335.77002</v>
      </c>
      <c r="P14" s="70">
        <f>SUM(P15:P16)</f>
        <v>186331097621.22321</v>
      </c>
      <c r="Q14" s="70">
        <f>SUM(Q15:Q16)</f>
        <v>208690829335.77002</v>
      </c>
      <c r="R14" s="68"/>
      <c r="S14" s="67"/>
      <c r="T14" s="67">
        <f>SUM(T15:T16)</f>
        <v>0</v>
      </c>
      <c r="U14" s="67">
        <f>SUM(U15:U16)</f>
        <v>0</v>
      </c>
      <c r="V14" s="67"/>
      <c r="W14" s="67">
        <f>SUM(W15:W16)</f>
        <v>4869086.5979553582</v>
      </c>
      <c r="X14" s="67">
        <f>SUM(X15:X16)</f>
        <v>5453376.9897099975</v>
      </c>
      <c r="Y14" s="67"/>
      <c r="Z14" s="67">
        <f>SUM(Z15:Z16)</f>
        <v>4869086.5979553582</v>
      </c>
      <c r="AA14" s="67">
        <f>SUM(AA15:AA16)</f>
        <v>5453376.9897099975</v>
      </c>
      <c r="AB14" s="67"/>
      <c r="AC14" s="67">
        <f>SUM(AC15:AC16)</f>
        <v>8027782.0364285698</v>
      </c>
      <c r="AD14" s="67">
        <f>SUM(AD15:AD16)</f>
        <v>8991115.8808000013</v>
      </c>
      <c r="AE14" s="67"/>
      <c r="AF14" s="67">
        <f>SUM(AF15:AF16)</f>
        <v>7571084.4588571405</v>
      </c>
      <c r="AG14" s="67">
        <f>SUM(AG15:AG16)</f>
        <v>8479614.593919998</v>
      </c>
      <c r="AH14" s="67"/>
      <c r="AI14" s="67">
        <f>SUM(AI15:AI16)</f>
        <v>-427875.97757143015</v>
      </c>
      <c r="AJ14" s="67">
        <f>SUM(AJ15:AJ16)</f>
        <v>-479221.09488000168</v>
      </c>
      <c r="AK14" s="67"/>
      <c r="AL14" s="71">
        <f t="shared" si="2"/>
        <v>0.94311036653723013</v>
      </c>
      <c r="AM14" s="68">
        <f>SUM(AM15:AM16)</f>
        <v>837438.72696428571</v>
      </c>
      <c r="AN14" s="68">
        <f>SUM(AN15:AN16)</f>
        <v>6738397.3668928556</v>
      </c>
      <c r="AO14" s="68">
        <f>SUM(AO15:AO16)</f>
        <v>0</v>
      </c>
      <c r="AP14" s="67">
        <f>SUM(AP15:AP16)</f>
        <v>8604750.2721037697</v>
      </c>
      <c r="AQ14" s="67">
        <f>SUM(AQ15:AQ16)</f>
        <v>9637281.9047562201</v>
      </c>
      <c r="AR14" s="67"/>
      <c r="AS14" s="67">
        <f t="shared" ref="AS14:BF14" si="6">SUM(AS15:AS16)</f>
        <v>0</v>
      </c>
      <c r="AT14" s="67">
        <f t="shared" si="6"/>
        <v>0</v>
      </c>
      <c r="AU14" s="67">
        <f t="shared" si="6"/>
        <v>0</v>
      </c>
      <c r="AV14" s="67">
        <f t="shared" si="6"/>
        <v>0</v>
      </c>
      <c r="AW14" s="67">
        <f t="shared" si="6"/>
        <v>0</v>
      </c>
      <c r="AX14" s="67">
        <f t="shared" si="6"/>
        <v>0</v>
      </c>
      <c r="AY14" s="67">
        <f t="shared" si="6"/>
        <v>0</v>
      </c>
      <c r="AZ14" s="67">
        <f t="shared" si="6"/>
        <v>0</v>
      </c>
      <c r="BA14" s="67">
        <f t="shared" si="6"/>
        <v>0</v>
      </c>
      <c r="BB14" s="67">
        <f t="shared" si="6"/>
        <v>0</v>
      </c>
      <c r="BC14" s="67">
        <f t="shared" si="6"/>
        <v>0</v>
      </c>
      <c r="BD14" s="67">
        <f t="shared" si="6"/>
        <v>0</v>
      </c>
      <c r="BE14" s="67">
        <f t="shared" si="6"/>
        <v>0</v>
      </c>
      <c r="BF14" s="67">
        <f t="shared" si="6"/>
        <v>0</v>
      </c>
      <c r="BG14" s="68"/>
      <c r="BH14" s="68">
        <f>SUM(BH15:BH16)</f>
        <v>0</v>
      </c>
      <c r="BI14" s="67">
        <f>SUM(BI15:BI16)</f>
        <v>36076.095889999997</v>
      </c>
      <c r="BJ14" s="67">
        <f>SUM(BJ15:BJ16)</f>
        <v>6193120.4302899996</v>
      </c>
      <c r="BK14" s="67">
        <f>SUM(BK15:BK16)</f>
        <v>115.42274999999999</v>
      </c>
      <c r="BL14" s="72"/>
      <c r="BM14" s="72"/>
      <c r="BN14" s="72"/>
      <c r="BQ14" s="77"/>
      <c r="BR14" s="78"/>
      <c r="BS14" s="76"/>
    </row>
    <row r="15" spans="1:71" s="86" customFormat="1" x14ac:dyDescent="0.35">
      <c r="A15" s="609"/>
      <c r="B15" s="612"/>
      <c r="C15" s="614" t="s">
        <v>74</v>
      </c>
      <c r="D15" s="79" t="s">
        <v>76</v>
      </c>
      <c r="E15" s="80">
        <f>E19+E121+E137+E25</f>
        <v>24767238.877</v>
      </c>
      <c r="F15" s="80">
        <f>F19+F121+F137+F25</f>
        <v>27739307.542240001</v>
      </c>
      <c r="G15" s="81"/>
      <c r="H15" s="80"/>
      <c r="I15" s="80">
        <f>I19+I121+I137+I25</f>
        <v>8032878.0001428556</v>
      </c>
      <c r="J15" s="80">
        <f>J19+J121+J137+J25</f>
        <v>8996823.3601600006</v>
      </c>
      <c r="K15" s="82"/>
      <c r="L15" s="81"/>
      <c r="M15" s="81"/>
      <c r="N15" s="83">
        <f>N19+N121+N137+N25</f>
        <v>165500942576.58035</v>
      </c>
      <c r="O15" s="83">
        <f>O19+O121+O137+O25</f>
        <v>185361055685.77002</v>
      </c>
      <c r="P15" s="83">
        <f>P19+P121+P137+P25</f>
        <v>165500942576.58035</v>
      </c>
      <c r="Q15" s="83">
        <f>Q19+Q121+Q137+Q25</f>
        <v>185361055685.77002</v>
      </c>
      <c r="R15" s="81"/>
      <c r="S15" s="80"/>
      <c r="T15" s="80">
        <f>T19+T121+T137+T25</f>
        <v>0</v>
      </c>
      <c r="U15" s="80">
        <f>U19+U121+U137+U25</f>
        <v>0</v>
      </c>
      <c r="V15" s="80"/>
      <c r="W15" s="80">
        <f>W19+W121+W137+W25</f>
        <v>4869086.5979553582</v>
      </c>
      <c r="X15" s="80">
        <f>X19+X121+X137+X25</f>
        <v>5453376.9897099975</v>
      </c>
      <c r="Y15" s="80"/>
      <c r="Z15" s="80">
        <f>Z19+Z121+Z137+Z25</f>
        <v>4869086.5979553582</v>
      </c>
      <c r="AA15" s="80">
        <f>AA19+AA121+AA137+AA25</f>
        <v>5453376.9897099975</v>
      </c>
      <c r="AB15" s="80"/>
      <c r="AC15" s="80">
        <f>AC19+AC121+AC137+AC25</f>
        <v>8027782.0364285698</v>
      </c>
      <c r="AD15" s="80">
        <f>AD19+AD121+AD137+AD25</f>
        <v>8991115.8808000013</v>
      </c>
      <c r="AE15" s="80"/>
      <c r="AF15" s="80">
        <f>AF19+AF121+AF137+AF25</f>
        <v>7571084.4588571405</v>
      </c>
      <c r="AG15" s="80">
        <f>AG19+AG121+AG137+AG25</f>
        <v>8479614.593919998</v>
      </c>
      <c r="AH15" s="80"/>
      <c r="AI15" s="80">
        <f>AI19+AI121+AI137+AI25</f>
        <v>-427875.97757143015</v>
      </c>
      <c r="AJ15" s="80">
        <f>AJ19+AJ121+AJ137+AJ25</f>
        <v>-479221.09488000168</v>
      </c>
      <c r="AK15" s="80"/>
      <c r="AL15" s="84">
        <f t="shared" si="2"/>
        <v>0.94311036653723013</v>
      </c>
      <c r="AM15" s="81">
        <f>AM19+AM121+AM137+AM25</f>
        <v>837438.72696428571</v>
      </c>
      <c r="AN15" s="81">
        <f>AN19+AN121+AN137+AN25</f>
        <v>6738397.3668928556</v>
      </c>
      <c r="AO15" s="81">
        <f>AO19+AO121+AO137+AO25</f>
        <v>0</v>
      </c>
      <c r="AP15" s="80">
        <f>AP19+AP121+AP137+AP25</f>
        <v>8604750.2721037697</v>
      </c>
      <c r="AQ15" s="80">
        <f>AQ19+AQ121+AQ137+AQ25</f>
        <v>9637281.9047562201</v>
      </c>
      <c r="AR15" s="80"/>
      <c r="AS15" s="80">
        <f t="shared" ref="AS15:BF15" si="7">AS19+AS121+AS137+AS25</f>
        <v>0</v>
      </c>
      <c r="AT15" s="80">
        <f t="shared" si="7"/>
        <v>0</v>
      </c>
      <c r="AU15" s="80">
        <f t="shared" si="7"/>
        <v>0</v>
      </c>
      <c r="AV15" s="80">
        <f t="shared" si="7"/>
        <v>0</v>
      </c>
      <c r="AW15" s="80">
        <f t="shared" si="7"/>
        <v>0</v>
      </c>
      <c r="AX15" s="80">
        <f t="shared" si="7"/>
        <v>0</v>
      </c>
      <c r="AY15" s="80">
        <f t="shared" si="7"/>
        <v>0</v>
      </c>
      <c r="AZ15" s="80">
        <f t="shared" si="7"/>
        <v>0</v>
      </c>
      <c r="BA15" s="80">
        <f t="shared" si="7"/>
        <v>0</v>
      </c>
      <c r="BB15" s="80">
        <f t="shared" si="7"/>
        <v>0</v>
      </c>
      <c r="BC15" s="80">
        <f t="shared" si="7"/>
        <v>0</v>
      </c>
      <c r="BD15" s="80">
        <f t="shared" si="7"/>
        <v>0</v>
      </c>
      <c r="BE15" s="80">
        <f t="shared" si="7"/>
        <v>0</v>
      </c>
      <c r="BF15" s="80">
        <f t="shared" si="7"/>
        <v>0</v>
      </c>
      <c r="BG15" s="81"/>
      <c r="BH15" s="81">
        <f>BH19+BH121+BH137</f>
        <v>0</v>
      </c>
      <c r="BI15" s="80">
        <f>BI19+BI121+BI137+BI25</f>
        <v>36076.095889999997</v>
      </c>
      <c r="BJ15" s="80">
        <f>BJ19+BJ121+BJ137+BJ25</f>
        <v>6193120.4302899996</v>
      </c>
      <c r="BK15" s="80">
        <f>BK19+BK121+BK137+BK25</f>
        <v>115.42274999999999</v>
      </c>
      <c r="BL15" s="85"/>
      <c r="BM15" s="85"/>
      <c r="BN15" s="85"/>
      <c r="BQ15" s="87"/>
      <c r="BR15" s="88"/>
      <c r="BS15" s="89"/>
    </row>
    <row r="16" spans="1:71" s="86" customFormat="1" x14ac:dyDescent="0.35">
      <c r="A16" s="610"/>
      <c r="B16" s="613"/>
      <c r="C16" s="615"/>
      <c r="D16" s="79" t="s">
        <v>77</v>
      </c>
      <c r="E16" s="80">
        <f>E122</f>
        <v>0</v>
      </c>
      <c r="F16" s="80">
        <f>F122</f>
        <v>0</v>
      </c>
      <c r="G16" s="81"/>
      <c r="H16" s="80"/>
      <c r="I16" s="80">
        <f>I122</f>
        <v>0</v>
      </c>
      <c r="J16" s="80">
        <f>J122</f>
        <v>0</v>
      </c>
      <c r="K16" s="82"/>
      <c r="L16" s="81"/>
      <c r="M16" s="81"/>
      <c r="N16" s="83">
        <f>N122</f>
        <v>20830155044.642857</v>
      </c>
      <c r="O16" s="83">
        <f>O122</f>
        <v>23329773650</v>
      </c>
      <c r="P16" s="83">
        <f>P122</f>
        <v>20830155044.642857</v>
      </c>
      <c r="Q16" s="83">
        <f>Q122</f>
        <v>23329773650</v>
      </c>
      <c r="R16" s="81"/>
      <c r="S16" s="80"/>
      <c r="T16" s="80">
        <f>T122</f>
        <v>0</v>
      </c>
      <c r="U16" s="80">
        <f>U122</f>
        <v>0</v>
      </c>
      <c r="V16" s="80"/>
      <c r="W16" s="80">
        <f>W122</f>
        <v>0</v>
      </c>
      <c r="X16" s="80">
        <f>X122</f>
        <v>0</v>
      </c>
      <c r="Y16" s="80"/>
      <c r="Z16" s="80">
        <f>Z122</f>
        <v>0</v>
      </c>
      <c r="AA16" s="80">
        <f>AA122</f>
        <v>0</v>
      </c>
      <c r="AB16" s="80"/>
      <c r="AC16" s="80">
        <f>AC122</f>
        <v>0</v>
      </c>
      <c r="AD16" s="80">
        <f>AD122</f>
        <v>0</v>
      </c>
      <c r="AE16" s="80"/>
      <c r="AF16" s="80">
        <f>AF122</f>
        <v>0</v>
      </c>
      <c r="AG16" s="80">
        <f>AG122</f>
        <v>0</v>
      </c>
      <c r="AH16" s="80"/>
      <c r="AI16" s="80">
        <f>AI122</f>
        <v>0</v>
      </c>
      <c r="AJ16" s="80">
        <f>AJ122</f>
        <v>0</v>
      </c>
      <c r="AK16" s="80"/>
      <c r="AL16" s="84" t="str">
        <f t="shared" si="2"/>
        <v/>
      </c>
      <c r="AM16" s="81">
        <f t="shared" ref="AM16:BF16" si="8">AM122</f>
        <v>0</v>
      </c>
      <c r="AN16" s="81">
        <f t="shared" si="8"/>
        <v>0</v>
      </c>
      <c r="AO16" s="81">
        <f t="shared" si="8"/>
        <v>0</v>
      </c>
      <c r="AP16" s="80">
        <f t="shared" si="8"/>
        <v>0</v>
      </c>
      <c r="AQ16" s="80">
        <f t="shared" si="8"/>
        <v>0</v>
      </c>
      <c r="AR16" s="80"/>
      <c r="AS16" s="80">
        <f t="shared" si="8"/>
        <v>0</v>
      </c>
      <c r="AT16" s="80">
        <f t="shared" si="8"/>
        <v>0</v>
      </c>
      <c r="AU16" s="80">
        <f t="shared" si="8"/>
        <v>0</v>
      </c>
      <c r="AV16" s="80">
        <f t="shared" si="8"/>
        <v>0</v>
      </c>
      <c r="AW16" s="80">
        <f t="shared" si="8"/>
        <v>0</v>
      </c>
      <c r="AX16" s="80">
        <f t="shared" si="8"/>
        <v>0</v>
      </c>
      <c r="AY16" s="80">
        <f t="shared" si="8"/>
        <v>0</v>
      </c>
      <c r="AZ16" s="80">
        <f t="shared" si="8"/>
        <v>0</v>
      </c>
      <c r="BA16" s="80">
        <f t="shared" si="8"/>
        <v>0</v>
      </c>
      <c r="BB16" s="80">
        <f t="shared" si="8"/>
        <v>0</v>
      </c>
      <c r="BC16" s="80">
        <f t="shared" si="8"/>
        <v>0</v>
      </c>
      <c r="BD16" s="80">
        <f t="shared" si="8"/>
        <v>0</v>
      </c>
      <c r="BE16" s="80">
        <f t="shared" si="8"/>
        <v>0</v>
      </c>
      <c r="BF16" s="80">
        <f t="shared" si="8"/>
        <v>0</v>
      </c>
      <c r="BG16" s="81"/>
      <c r="BH16" s="81">
        <f>BH122</f>
        <v>0</v>
      </c>
      <c r="BI16" s="80">
        <f>BI122</f>
        <v>0</v>
      </c>
      <c r="BJ16" s="80">
        <f>BJ122</f>
        <v>0</v>
      </c>
      <c r="BK16" s="80">
        <f>BK122</f>
        <v>0</v>
      </c>
      <c r="BL16" s="85"/>
      <c r="BM16" s="85"/>
      <c r="BN16" s="85"/>
      <c r="BQ16" s="87"/>
      <c r="BR16" s="88"/>
      <c r="BS16" s="89"/>
    </row>
    <row r="17" spans="1:71" s="103" customFormat="1" hidden="1" outlineLevel="1" x14ac:dyDescent="0.35">
      <c r="A17" s="432">
        <v>1</v>
      </c>
      <c r="B17" s="434" t="s">
        <v>79</v>
      </c>
      <c r="C17" s="90" t="s">
        <v>72</v>
      </c>
      <c r="D17" s="90" t="s">
        <v>73</v>
      </c>
      <c r="E17" s="91">
        <f>E20</f>
        <v>0</v>
      </c>
      <c r="F17" s="91">
        <f t="shared" ref="F17:BK19" si="9">F20</f>
        <v>0</v>
      </c>
      <c r="G17" s="92"/>
      <c r="H17" s="91"/>
      <c r="I17" s="93">
        <f t="shared" si="9"/>
        <v>0</v>
      </c>
      <c r="J17" s="93">
        <f>J20</f>
        <v>0</v>
      </c>
      <c r="K17" s="94"/>
      <c r="L17" s="95"/>
      <c r="M17" s="96"/>
      <c r="N17" s="97">
        <f t="shared" si="9"/>
        <v>0</v>
      </c>
      <c r="O17" s="97">
        <f t="shared" si="9"/>
        <v>0</v>
      </c>
      <c r="P17" s="97">
        <f t="shared" si="9"/>
        <v>0</v>
      </c>
      <c r="Q17" s="97">
        <f t="shared" si="9"/>
        <v>0</v>
      </c>
      <c r="R17" s="98"/>
      <c r="S17" s="91">
        <f t="shared" si="9"/>
        <v>0</v>
      </c>
      <c r="T17" s="93">
        <f t="shared" si="9"/>
        <v>0</v>
      </c>
      <c r="U17" s="93">
        <f t="shared" si="9"/>
        <v>0</v>
      </c>
      <c r="V17" s="93">
        <f t="shared" si="9"/>
        <v>0</v>
      </c>
      <c r="W17" s="93">
        <f t="shared" si="9"/>
        <v>0</v>
      </c>
      <c r="X17" s="93">
        <f t="shared" si="9"/>
        <v>0</v>
      </c>
      <c r="Y17" s="93">
        <f t="shared" si="9"/>
        <v>0</v>
      </c>
      <c r="Z17" s="93">
        <f t="shared" si="9"/>
        <v>0</v>
      </c>
      <c r="AA17" s="93">
        <f t="shared" si="9"/>
        <v>0</v>
      </c>
      <c r="AB17" s="93">
        <f t="shared" si="9"/>
        <v>0</v>
      </c>
      <c r="AC17" s="93">
        <f t="shared" si="9"/>
        <v>0</v>
      </c>
      <c r="AD17" s="93">
        <f t="shared" si="9"/>
        <v>0</v>
      </c>
      <c r="AE17" s="93"/>
      <c r="AF17" s="93">
        <f t="shared" si="9"/>
        <v>0</v>
      </c>
      <c r="AG17" s="91">
        <f t="shared" si="9"/>
        <v>0</v>
      </c>
      <c r="AH17" s="93"/>
      <c r="AI17" s="91">
        <f t="shared" si="9"/>
        <v>0</v>
      </c>
      <c r="AJ17" s="91">
        <f t="shared" si="9"/>
        <v>0</v>
      </c>
      <c r="AK17" s="91"/>
      <c r="AL17" s="99" t="str">
        <f t="shared" si="2"/>
        <v/>
      </c>
      <c r="AM17" s="100">
        <f t="shared" si="9"/>
        <v>0</v>
      </c>
      <c r="AN17" s="100">
        <f t="shared" si="9"/>
        <v>0</v>
      </c>
      <c r="AO17" s="100">
        <f t="shared" si="9"/>
        <v>0</v>
      </c>
      <c r="AP17" s="91">
        <f t="shared" si="9"/>
        <v>0</v>
      </c>
      <c r="AQ17" s="91">
        <f t="shared" si="9"/>
        <v>0</v>
      </c>
      <c r="AR17" s="101"/>
      <c r="AS17" s="91">
        <f t="shared" si="9"/>
        <v>0</v>
      </c>
      <c r="AT17" s="91">
        <f t="shared" si="9"/>
        <v>0</v>
      </c>
      <c r="AU17" s="91">
        <f t="shared" si="9"/>
        <v>0</v>
      </c>
      <c r="AV17" s="91">
        <f t="shared" si="9"/>
        <v>0</v>
      </c>
      <c r="AW17" s="91">
        <f t="shared" si="9"/>
        <v>0</v>
      </c>
      <c r="AX17" s="91">
        <f t="shared" si="9"/>
        <v>0</v>
      </c>
      <c r="AY17" s="91">
        <f t="shared" si="9"/>
        <v>0</v>
      </c>
      <c r="AZ17" s="91">
        <f t="shared" si="9"/>
        <v>0</v>
      </c>
      <c r="BA17" s="91">
        <f t="shared" si="9"/>
        <v>0</v>
      </c>
      <c r="BB17" s="91">
        <f t="shared" si="9"/>
        <v>0</v>
      </c>
      <c r="BC17" s="91">
        <f t="shared" si="9"/>
        <v>0</v>
      </c>
      <c r="BD17" s="91">
        <f t="shared" si="9"/>
        <v>0</v>
      </c>
      <c r="BE17" s="91">
        <f t="shared" si="9"/>
        <v>0</v>
      </c>
      <c r="BF17" s="91">
        <f t="shared" si="9"/>
        <v>0</v>
      </c>
      <c r="BG17" s="102"/>
      <c r="BH17" s="102">
        <f t="shared" si="9"/>
        <v>0</v>
      </c>
      <c r="BI17" s="102">
        <f t="shared" si="9"/>
        <v>0</v>
      </c>
      <c r="BJ17" s="102">
        <f t="shared" si="9"/>
        <v>0</v>
      </c>
      <c r="BK17" s="102">
        <f t="shared" si="9"/>
        <v>0</v>
      </c>
      <c r="BL17" s="102"/>
      <c r="BM17" s="102"/>
      <c r="BN17" s="102"/>
      <c r="BQ17" s="104">
        <f>SUM(AS17:BF17)</f>
        <v>0</v>
      </c>
      <c r="BR17" s="105">
        <f>AI17-BQ17</f>
        <v>0</v>
      </c>
      <c r="BS17" s="106"/>
    </row>
    <row r="18" spans="1:71" s="103" customFormat="1" hidden="1" outlineLevel="1" x14ac:dyDescent="0.35">
      <c r="A18" s="432"/>
      <c r="B18" s="434"/>
      <c r="C18" s="90" t="s">
        <v>74</v>
      </c>
      <c r="D18" s="90" t="s">
        <v>75</v>
      </c>
      <c r="E18" s="91">
        <f>E21</f>
        <v>0</v>
      </c>
      <c r="F18" s="91">
        <f>F21</f>
        <v>0</v>
      </c>
      <c r="G18" s="92"/>
      <c r="H18" s="91"/>
      <c r="I18" s="93">
        <f>I21</f>
        <v>0</v>
      </c>
      <c r="J18" s="93">
        <f>J21</f>
        <v>0</v>
      </c>
      <c r="K18" s="94"/>
      <c r="L18" s="95"/>
      <c r="M18" s="96"/>
      <c r="N18" s="97">
        <f t="shared" si="9"/>
        <v>0</v>
      </c>
      <c r="O18" s="97">
        <f t="shared" si="9"/>
        <v>0</v>
      </c>
      <c r="P18" s="97">
        <f t="shared" si="9"/>
        <v>0</v>
      </c>
      <c r="Q18" s="97">
        <f t="shared" si="9"/>
        <v>0</v>
      </c>
      <c r="R18" s="97"/>
      <c r="S18" s="93"/>
      <c r="T18" s="97">
        <f t="shared" si="9"/>
        <v>0</v>
      </c>
      <c r="U18" s="97">
        <f t="shared" si="9"/>
        <v>0</v>
      </c>
      <c r="V18" s="97">
        <f t="shared" si="9"/>
        <v>0</v>
      </c>
      <c r="W18" s="93">
        <f t="shared" si="9"/>
        <v>0</v>
      </c>
      <c r="X18" s="93">
        <f t="shared" si="9"/>
        <v>0</v>
      </c>
      <c r="Y18" s="93"/>
      <c r="Z18" s="93">
        <f t="shared" si="9"/>
        <v>0</v>
      </c>
      <c r="AA18" s="93">
        <f t="shared" si="9"/>
        <v>0</v>
      </c>
      <c r="AB18" s="93"/>
      <c r="AC18" s="93">
        <f>AC21</f>
        <v>0</v>
      </c>
      <c r="AD18" s="93">
        <f>AD21</f>
        <v>0</v>
      </c>
      <c r="AE18" s="93"/>
      <c r="AF18" s="93">
        <f>AF21</f>
        <v>0</v>
      </c>
      <c r="AG18" s="93">
        <f>AG21</f>
        <v>0</v>
      </c>
      <c r="AH18" s="93"/>
      <c r="AI18" s="93">
        <f>AI21</f>
        <v>0</v>
      </c>
      <c r="AJ18" s="93">
        <f>AJ21</f>
        <v>0</v>
      </c>
      <c r="AK18" s="91"/>
      <c r="AL18" s="99" t="str">
        <f t="shared" si="2"/>
        <v/>
      </c>
      <c r="AM18" s="93">
        <f>AM21</f>
        <v>0</v>
      </c>
      <c r="AN18" s="93">
        <f>AN21</f>
        <v>0</v>
      </c>
      <c r="AO18" s="93">
        <f t="shared" si="9"/>
        <v>0</v>
      </c>
      <c r="AP18" s="93">
        <f t="shared" si="9"/>
        <v>0</v>
      </c>
      <c r="AQ18" s="93">
        <f t="shared" si="9"/>
        <v>0</v>
      </c>
      <c r="AR18" s="93">
        <f t="shared" si="9"/>
        <v>0</v>
      </c>
      <c r="AS18" s="93">
        <f t="shared" si="9"/>
        <v>0</v>
      </c>
      <c r="AT18" s="93">
        <f t="shared" si="9"/>
        <v>0</v>
      </c>
      <c r="AU18" s="93">
        <f t="shared" si="9"/>
        <v>0</v>
      </c>
      <c r="AV18" s="93">
        <f t="shared" si="9"/>
        <v>0</v>
      </c>
      <c r="AW18" s="93">
        <f t="shared" si="9"/>
        <v>0</v>
      </c>
      <c r="AX18" s="93">
        <f t="shared" si="9"/>
        <v>0</v>
      </c>
      <c r="AY18" s="93">
        <f t="shared" si="9"/>
        <v>0</v>
      </c>
      <c r="AZ18" s="93">
        <f t="shared" si="9"/>
        <v>0</v>
      </c>
      <c r="BA18" s="93">
        <f t="shared" si="9"/>
        <v>0</v>
      </c>
      <c r="BB18" s="93">
        <f t="shared" si="9"/>
        <v>0</v>
      </c>
      <c r="BC18" s="93">
        <f t="shared" si="9"/>
        <v>0</v>
      </c>
      <c r="BD18" s="93">
        <f t="shared" si="9"/>
        <v>0</v>
      </c>
      <c r="BE18" s="93">
        <f t="shared" si="9"/>
        <v>0</v>
      </c>
      <c r="BF18" s="93">
        <f t="shared" si="9"/>
        <v>0</v>
      </c>
      <c r="BG18" s="102"/>
      <c r="BH18" s="93">
        <f t="shared" si="9"/>
        <v>0</v>
      </c>
      <c r="BI18" s="93">
        <f t="shared" si="9"/>
        <v>0</v>
      </c>
      <c r="BJ18" s="93">
        <f t="shared" si="9"/>
        <v>0</v>
      </c>
      <c r="BK18" s="93">
        <f t="shared" si="9"/>
        <v>0</v>
      </c>
      <c r="BL18" s="102"/>
      <c r="BM18" s="102"/>
      <c r="BN18" s="102"/>
      <c r="BQ18" s="29"/>
      <c r="BR18" s="107"/>
      <c r="BS18" s="106"/>
    </row>
    <row r="19" spans="1:71" s="118" customFormat="1" hidden="1" outlineLevel="1" x14ac:dyDescent="0.35">
      <c r="A19" s="432"/>
      <c r="B19" s="434"/>
      <c r="C19" s="108" t="s">
        <v>74</v>
      </c>
      <c r="D19" s="108" t="s">
        <v>76</v>
      </c>
      <c r="E19" s="109">
        <f>E22</f>
        <v>0</v>
      </c>
      <c r="F19" s="109">
        <f>F22</f>
        <v>0</v>
      </c>
      <c r="G19" s="110"/>
      <c r="H19" s="109"/>
      <c r="I19" s="111">
        <f>I22</f>
        <v>0</v>
      </c>
      <c r="J19" s="111">
        <f>J22</f>
        <v>0</v>
      </c>
      <c r="K19" s="112"/>
      <c r="L19" s="113"/>
      <c r="M19" s="114"/>
      <c r="N19" s="115">
        <f t="shared" si="9"/>
        <v>0</v>
      </c>
      <c r="O19" s="115">
        <f t="shared" si="9"/>
        <v>0</v>
      </c>
      <c r="P19" s="115">
        <f t="shared" si="9"/>
        <v>0</v>
      </c>
      <c r="Q19" s="115">
        <f t="shared" si="9"/>
        <v>0</v>
      </c>
      <c r="R19" s="115"/>
      <c r="S19" s="111"/>
      <c r="T19" s="115">
        <f t="shared" si="9"/>
        <v>0</v>
      </c>
      <c r="U19" s="115">
        <f t="shared" si="9"/>
        <v>0</v>
      </c>
      <c r="V19" s="115">
        <f t="shared" si="9"/>
        <v>0</v>
      </c>
      <c r="W19" s="111">
        <f t="shared" si="9"/>
        <v>0</v>
      </c>
      <c r="X19" s="111">
        <f t="shared" si="9"/>
        <v>0</v>
      </c>
      <c r="Y19" s="111"/>
      <c r="Z19" s="111">
        <f t="shared" si="9"/>
        <v>0</v>
      </c>
      <c r="AA19" s="111">
        <f t="shared" si="9"/>
        <v>0</v>
      </c>
      <c r="AB19" s="111"/>
      <c r="AC19" s="111">
        <f>AC22</f>
        <v>0</v>
      </c>
      <c r="AD19" s="111">
        <f>AD22</f>
        <v>0</v>
      </c>
      <c r="AE19" s="111"/>
      <c r="AF19" s="111">
        <f>AF22</f>
        <v>0</v>
      </c>
      <c r="AG19" s="111">
        <f>AG22</f>
        <v>0</v>
      </c>
      <c r="AH19" s="111"/>
      <c r="AI19" s="111">
        <f>AI22</f>
        <v>0</v>
      </c>
      <c r="AJ19" s="111">
        <f>AJ22</f>
        <v>0</v>
      </c>
      <c r="AK19" s="109"/>
      <c r="AL19" s="116" t="str">
        <f t="shared" si="2"/>
        <v/>
      </c>
      <c r="AM19" s="111">
        <f>AM22</f>
        <v>0</v>
      </c>
      <c r="AN19" s="111">
        <f>AN22</f>
        <v>0</v>
      </c>
      <c r="AO19" s="111">
        <f t="shared" si="9"/>
        <v>0</v>
      </c>
      <c r="AP19" s="111">
        <f t="shared" si="9"/>
        <v>0</v>
      </c>
      <c r="AQ19" s="111">
        <f t="shared" si="9"/>
        <v>0</v>
      </c>
      <c r="AR19" s="111">
        <f t="shared" si="9"/>
        <v>0</v>
      </c>
      <c r="AS19" s="111">
        <f t="shared" si="9"/>
        <v>0</v>
      </c>
      <c r="AT19" s="111">
        <f t="shared" si="9"/>
        <v>0</v>
      </c>
      <c r="AU19" s="111">
        <f t="shared" si="9"/>
        <v>0</v>
      </c>
      <c r="AV19" s="111">
        <f t="shared" si="9"/>
        <v>0</v>
      </c>
      <c r="AW19" s="111">
        <f t="shared" si="9"/>
        <v>0</v>
      </c>
      <c r="AX19" s="111">
        <f t="shared" si="9"/>
        <v>0</v>
      </c>
      <c r="AY19" s="111">
        <f t="shared" si="9"/>
        <v>0</v>
      </c>
      <c r="AZ19" s="111">
        <f t="shared" si="9"/>
        <v>0</v>
      </c>
      <c r="BA19" s="111">
        <f t="shared" si="9"/>
        <v>0</v>
      </c>
      <c r="BB19" s="111">
        <f t="shared" si="9"/>
        <v>0</v>
      </c>
      <c r="BC19" s="111">
        <f t="shared" si="9"/>
        <v>0</v>
      </c>
      <c r="BD19" s="111">
        <f t="shared" si="9"/>
        <v>0</v>
      </c>
      <c r="BE19" s="111">
        <f t="shared" si="9"/>
        <v>0</v>
      </c>
      <c r="BF19" s="111">
        <f t="shared" si="9"/>
        <v>0</v>
      </c>
      <c r="BG19" s="117"/>
      <c r="BH19" s="111">
        <f t="shared" si="9"/>
        <v>0</v>
      </c>
      <c r="BI19" s="111">
        <f t="shared" si="9"/>
        <v>0</v>
      </c>
      <c r="BJ19" s="111">
        <f t="shared" si="9"/>
        <v>0</v>
      </c>
      <c r="BK19" s="111">
        <f t="shared" si="9"/>
        <v>0</v>
      </c>
      <c r="BL19" s="117"/>
      <c r="BM19" s="117"/>
      <c r="BN19" s="117"/>
      <c r="BQ19" s="119"/>
      <c r="BR19" s="120"/>
      <c r="BS19" s="121"/>
    </row>
    <row r="20" spans="1:71" s="103" customFormat="1" ht="12.75" hidden="1" customHeight="1" outlineLevel="1" x14ac:dyDescent="0.35">
      <c r="A20" s="438">
        <v>1</v>
      </c>
      <c r="B20" s="436"/>
      <c r="C20" s="122" t="s">
        <v>72</v>
      </c>
      <c r="D20" s="122" t="s">
        <v>73</v>
      </c>
      <c r="E20" s="123">
        <f>I20</f>
        <v>0</v>
      </c>
      <c r="F20" s="124">
        <f>E20*1.12</f>
        <v>0</v>
      </c>
      <c r="G20" s="532"/>
      <c r="H20" s="471"/>
      <c r="I20" s="124"/>
      <c r="J20" s="124">
        <f>I20*1.12</f>
        <v>0</v>
      </c>
      <c r="K20" s="535"/>
      <c r="L20" s="436"/>
      <c r="M20" s="521"/>
      <c r="N20" s="125">
        <f>O20/1.12</f>
        <v>0</v>
      </c>
      <c r="O20" s="125"/>
      <c r="P20" s="125">
        <f t="shared" ref="P20:Q22" si="10">N20</f>
        <v>0</v>
      </c>
      <c r="Q20" s="125">
        <f t="shared" si="10"/>
        <v>0</v>
      </c>
      <c r="R20" s="524"/>
      <c r="S20" s="471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>
        <f>AC20</f>
        <v>0</v>
      </c>
      <c r="AE20" s="124"/>
      <c r="AF20" s="124"/>
      <c r="AG20" s="123">
        <f>AF20*1.12</f>
        <v>0</v>
      </c>
      <c r="AH20" s="124"/>
      <c r="AI20" s="123">
        <f t="shared" ref="AI20:AJ22" si="11">AF20-AC20</f>
        <v>0</v>
      </c>
      <c r="AJ20" s="123">
        <f t="shared" si="11"/>
        <v>0</v>
      </c>
      <c r="AK20" s="123"/>
      <c r="AL20" s="126" t="str">
        <f t="shared" si="2"/>
        <v/>
      </c>
      <c r="AM20" s="127"/>
      <c r="AN20" s="127"/>
      <c r="AO20" s="127"/>
      <c r="AP20" s="123"/>
      <c r="AQ20" s="123">
        <f>AP20</f>
        <v>0</v>
      </c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8"/>
      <c r="BH20" s="128"/>
      <c r="BI20" s="128"/>
      <c r="BJ20" s="128"/>
      <c r="BK20" s="128"/>
      <c r="BL20" s="128"/>
      <c r="BM20" s="128"/>
      <c r="BN20" s="128"/>
      <c r="BQ20" s="29"/>
      <c r="BR20" s="107"/>
      <c r="BS20" s="106"/>
    </row>
    <row r="21" spans="1:71" s="103" customFormat="1" hidden="1" outlineLevel="1" x14ac:dyDescent="0.35">
      <c r="A21" s="499"/>
      <c r="B21" s="470"/>
      <c r="C21" s="122" t="s">
        <v>74</v>
      </c>
      <c r="D21" s="122" t="s">
        <v>75</v>
      </c>
      <c r="E21" s="123">
        <f>I21</f>
        <v>0</v>
      </c>
      <c r="F21" s="124">
        <f>E21*1.12</f>
        <v>0</v>
      </c>
      <c r="G21" s="533"/>
      <c r="H21" s="472"/>
      <c r="I21" s="124"/>
      <c r="J21" s="124">
        <f>I21*1.12</f>
        <v>0</v>
      </c>
      <c r="K21" s="536"/>
      <c r="L21" s="470"/>
      <c r="M21" s="522"/>
      <c r="N21" s="125">
        <f>N20</f>
        <v>0</v>
      </c>
      <c r="O21" s="125">
        <f>O20</f>
        <v>0</v>
      </c>
      <c r="P21" s="125">
        <f t="shared" si="10"/>
        <v>0</v>
      </c>
      <c r="Q21" s="125">
        <f t="shared" si="10"/>
        <v>0</v>
      </c>
      <c r="R21" s="525"/>
      <c r="S21" s="472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>
        <f>AC21</f>
        <v>0</v>
      </c>
      <c r="AE21" s="124"/>
      <c r="AF21" s="124"/>
      <c r="AG21" s="123">
        <f>AF21*1.12</f>
        <v>0</v>
      </c>
      <c r="AH21" s="124"/>
      <c r="AI21" s="123">
        <f t="shared" si="11"/>
        <v>0</v>
      </c>
      <c r="AJ21" s="123">
        <f t="shared" si="11"/>
        <v>0</v>
      </c>
      <c r="AK21" s="123"/>
      <c r="AL21" s="126" t="str">
        <f t="shared" si="2"/>
        <v/>
      </c>
      <c r="AM21" s="127"/>
      <c r="AN21" s="127"/>
      <c r="AO21" s="127"/>
      <c r="AP21" s="123"/>
      <c r="AQ21" s="123">
        <f>AP21*1.12</f>
        <v>0</v>
      </c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8"/>
      <c r="BH21" s="128"/>
      <c r="BI21" s="128"/>
      <c r="BJ21" s="128"/>
      <c r="BK21" s="128"/>
      <c r="BL21" s="128"/>
      <c r="BM21" s="128"/>
      <c r="BN21" s="128"/>
      <c r="BQ21" s="29"/>
      <c r="BR21" s="107"/>
      <c r="BS21" s="106"/>
    </row>
    <row r="22" spans="1:71" hidden="1" outlineLevel="1" x14ac:dyDescent="0.35">
      <c r="A22" s="439"/>
      <c r="B22" s="437"/>
      <c r="C22" s="129" t="s">
        <v>74</v>
      </c>
      <c r="D22" s="129" t="s">
        <v>76</v>
      </c>
      <c r="E22" s="130">
        <f>I22</f>
        <v>0</v>
      </c>
      <c r="F22" s="131">
        <f>E22*1.12</f>
        <v>0</v>
      </c>
      <c r="G22" s="534"/>
      <c r="H22" s="473"/>
      <c r="I22" s="131"/>
      <c r="J22" s="131">
        <f>I22*1.12</f>
        <v>0</v>
      </c>
      <c r="K22" s="537"/>
      <c r="L22" s="437"/>
      <c r="M22" s="523"/>
      <c r="N22" s="132">
        <f>N21</f>
        <v>0</v>
      </c>
      <c r="O22" s="132">
        <f>O21</f>
        <v>0</v>
      </c>
      <c r="P22" s="132">
        <f t="shared" si="10"/>
        <v>0</v>
      </c>
      <c r="Q22" s="132">
        <f t="shared" si="10"/>
        <v>0</v>
      </c>
      <c r="R22" s="526"/>
      <c r="S22" s="473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>
        <f>AC22</f>
        <v>0</v>
      </c>
      <c r="AE22" s="131"/>
      <c r="AF22" s="131"/>
      <c r="AG22" s="130">
        <f>AF22*1.12</f>
        <v>0</v>
      </c>
      <c r="AH22" s="131"/>
      <c r="AI22" s="130">
        <f t="shared" si="11"/>
        <v>0</v>
      </c>
      <c r="AJ22" s="130">
        <f t="shared" si="11"/>
        <v>0</v>
      </c>
      <c r="AK22" s="130"/>
      <c r="AL22" s="133" t="str">
        <f t="shared" si="2"/>
        <v/>
      </c>
      <c r="AM22" s="134"/>
      <c r="AN22" s="134"/>
      <c r="AO22" s="134"/>
      <c r="AP22" s="130">
        <f>AP21</f>
        <v>0</v>
      </c>
      <c r="AQ22" s="130">
        <f>AP22*1.12</f>
        <v>0</v>
      </c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5"/>
      <c r="BH22" s="135"/>
      <c r="BI22" s="135"/>
      <c r="BJ22" s="135"/>
      <c r="BK22" s="135"/>
      <c r="BL22" s="135"/>
      <c r="BM22" s="135"/>
      <c r="BN22" s="135"/>
      <c r="BQ22" s="27"/>
      <c r="BR22" s="28"/>
      <c r="BS22" s="31"/>
    </row>
    <row r="23" spans="1:71" s="103" customFormat="1" ht="27" customHeight="1" collapsed="1" x14ac:dyDescent="0.35">
      <c r="A23" s="432">
        <v>1</v>
      </c>
      <c r="B23" s="434" t="s">
        <v>80</v>
      </c>
      <c r="C23" s="90" t="s">
        <v>72</v>
      </c>
      <c r="D23" s="90" t="s">
        <v>73</v>
      </c>
      <c r="E23" s="91">
        <f t="shared" ref="E23:F25" si="12">E26+E41+E56+E101+E104+E107+E110+E113+E116</f>
        <v>131891.87700000004</v>
      </c>
      <c r="F23" s="91">
        <f t="shared" si="12"/>
        <v>147718.90224000005</v>
      </c>
      <c r="G23" s="92"/>
      <c r="H23" s="91"/>
      <c r="I23" s="91">
        <f t="shared" ref="I23:J25" si="13">I26+I41+I56+I101+I104+I107+I110+I113+I116</f>
        <v>131891.87700000004</v>
      </c>
      <c r="J23" s="91">
        <f t="shared" si="13"/>
        <v>147718.90224000005</v>
      </c>
      <c r="K23" s="94"/>
      <c r="L23" s="95"/>
      <c r="M23" s="96"/>
      <c r="N23" s="136">
        <f t="shared" ref="N23:Q25" si="14">N26+N41+N56+N101+N104+N107+N110+N113+N116</f>
        <v>166110095.00000003</v>
      </c>
      <c r="O23" s="136">
        <f t="shared" si="14"/>
        <v>186043306.40000004</v>
      </c>
      <c r="P23" s="136">
        <f t="shared" si="14"/>
        <v>166110095.00000003</v>
      </c>
      <c r="Q23" s="136">
        <f t="shared" si="14"/>
        <v>186043306.40000004</v>
      </c>
      <c r="R23" s="98"/>
      <c r="S23" s="91"/>
      <c r="T23" s="91">
        <f t="shared" ref="T23:U25" si="15">T26+T41+T56+T101+T104+T107+T110+T113+T116</f>
        <v>0</v>
      </c>
      <c r="U23" s="91">
        <f t="shared" si="15"/>
        <v>0</v>
      </c>
      <c r="V23" s="91"/>
      <c r="W23" s="91">
        <f t="shared" ref="W23:X25" si="16">W26+W41+W56+W101+W104+W107+W110+W113+W116</f>
        <v>0</v>
      </c>
      <c r="X23" s="91">
        <f t="shared" si="16"/>
        <v>0</v>
      </c>
      <c r="Y23" s="91"/>
      <c r="Z23" s="91">
        <f t="shared" ref="Z23:AA25" si="17">Z26+Z41+Z56+Z101+Z104+Z107+Z110+Z113+Z116</f>
        <v>0</v>
      </c>
      <c r="AA23" s="91">
        <f t="shared" si="17"/>
        <v>0</v>
      </c>
      <c r="AB23" s="91"/>
      <c r="AC23" s="91">
        <f t="shared" ref="AC23:AD25" si="18">AC26+AC41</f>
        <v>126796.34200000003</v>
      </c>
      <c r="AD23" s="91">
        <f t="shared" si="18"/>
        <v>142011.90304000006</v>
      </c>
      <c r="AE23" s="91"/>
      <c r="AF23" s="91">
        <f t="shared" ref="AF23:AG25" si="19">AF26+AF41</f>
        <v>160087.63500000001</v>
      </c>
      <c r="AG23" s="91">
        <f t="shared" si="19"/>
        <v>179298.15120000002</v>
      </c>
      <c r="AH23" s="91"/>
      <c r="AI23" s="91">
        <f t="shared" ref="AI23:AJ25" si="20">AI26+AI41+AI56+AI101+AI104+AI107+AI110+AI113+AI116</f>
        <v>32947.757999999994</v>
      </c>
      <c r="AJ23" s="91">
        <f t="shared" si="20"/>
        <v>36901.488960000002</v>
      </c>
      <c r="AK23" s="91"/>
      <c r="AL23" s="99">
        <f t="shared" si="2"/>
        <v>1.2625572037401518</v>
      </c>
      <c r="AM23" s="91">
        <f t="shared" ref="AM23:AS25" si="21">AM26+AM41+AM56+AM101+AM104+AM107+AM110+AM113+AM116</f>
        <v>0</v>
      </c>
      <c r="AN23" s="91">
        <f t="shared" si="21"/>
        <v>129839.63499999999</v>
      </c>
      <c r="AO23" s="91">
        <f t="shared" si="21"/>
        <v>0</v>
      </c>
      <c r="AP23" s="91">
        <f t="shared" si="21"/>
        <v>129839.205</v>
      </c>
      <c r="AQ23" s="91">
        <f t="shared" si="21"/>
        <v>144849.71340000004</v>
      </c>
      <c r="AR23" s="91">
        <f t="shared" si="21"/>
        <v>0</v>
      </c>
      <c r="AS23" s="91">
        <f t="shared" si="21"/>
        <v>0</v>
      </c>
      <c r="AT23" s="91">
        <f>AT26+AT41</f>
        <v>-791.03500000000417</v>
      </c>
      <c r="AU23" s="91">
        <f t="shared" ref="AU23:BF25" si="22">AU26+AU41+AU56+AU101+AU104+AU107+AU110+AU113+AU116</f>
        <v>0</v>
      </c>
      <c r="AV23" s="91">
        <f t="shared" si="22"/>
        <v>0</v>
      </c>
      <c r="AW23" s="91">
        <f t="shared" si="22"/>
        <v>0</v>
      </c>
      <c r="AX23" s="91">
        <f t="shared" si="22"/>
        <v>0</v>
      </c>
      <c r="AY23" s="91">
        <f t="shared" si="22"/>
        <v>0</v>
      </c>
      <c r="AZ23" s="91">
        <f t="shared" si="22"/>
        <v>0</v>
      </c>
      <c r="BA23" s="91">
        <f t="shared" si="22"/>
        <v>0</v>
      </c>
      <c r="BB23" s="91">
        <f t="shared" si="22"/>
        <v>0</v>
      </c>
      <c r="BC23" s="91">
        <f t="shared" si="22"/>
        <v>0</v>
      </c>
      <c r="BD23" s="91">
        <f t="shared" si="22"/>
        <v>0</v>
      </c>
      <c r="BE23" s="91">
        <f t="shared" si="22"/>
        <v>0</v>
      </c>
      <c r="BF23" s="91">
        <f t="shared" si="22"/>
        <v>35000</v>
      </c>
      <c r="BG23" s="91"/>
      <c r="BH23" s="91">
        <f>BH26+BH41+BH101+BH116+BH104+BH107+BH110+BH113+BH29+BH32+BH35+BH38+BH47+BH50+BH53+BH56+BH59+BH62+BH83+BH98</f>
        <v>0</v>
      </c>
      <c r="BI23" s="91">
        <f>BI26+BI41+BI101+BI116+BI104+BI107+BI110+BI113+BI29+BI32+BI35+BI38+BI47+BI50+BI53+BI56+BI59+BI62+BI83+BI98</f>
        <v>0</v>
      </c>
      <c r="BJ23" s="91">
        <f>BJ26+BJ41+BJ101+BJ116+BJ104+BJ107+BJ110+BJ113+BJ29+BJ32+BJ35+BJ38+BJ47+BJ50+BJ53+BJ56+BJ59+BJ62+BJ83+BJ98</f>
        <v>0</v>
      </c>
      <c r="BK23" s="91">
        <f>BK26+BK41+BK101+BK116+BK104+BK107+BK110+BK113+BK29+BK32+BK35+BK38+BK47+BK50+BK53+BK56+BK59+BK62+BK83+BK98</f>
        <v>0</v>
      </c>
      <c r="BL23" s="102"/>
      <c r="BM23" s="102"/>
      <c r="BN23" s="102"/>
      <c r="BQ23" s="104">
        <f>SUM(AS23:BF23)</f>
        <v>34208.964999999997</v>
      </c>
      <c r="BR23" s="105">
        <f>AI23-BQ23</f>
        <v>-1261.2070000000022</v>
      </c>
      <c r="BS23" s="106"/>
    </row>
    <row r="24" spans="1:71" s="103" customFormat="1" ht="27" customHeight="1" x14ac:dyDescent="0.35">
      <c r="A24" s="432"/>
      <c r="B24" s="434"/>
      <c r="C24" s="90" t="s">
        <v>74</v>
      </c>
      <c r="D24" s="90" t="s">
        <v>75</v>
      </c>
      <c r="E24" s="91">
        <f t="shared" si="12"/>
        <v>131891.87700000004</v>
      </c>
      <c r="F24" s="91">
        <f t="shared" si="12"/>
        <v>147718.90224000005</v>
      </c>
      <c r="G24" s="92"/>
      <c r="H24" s="91"/>
      <c r="I24" s="91">
        <f t="shared" si="13"/>
        <v>131891.87700000004</v>
      </c>
      <c r="J24" s="91">
        <f t="shared" si="13"/>
        <v>147718.90224000005</v>
      </c>
      <c r="K24" s="94"/>
      <c r="L24" s="95"/>
      <c r="M24" s="96"/>
      <c r="N24" s="136">
        <f t="shared" si="14"/>
        <v>166110095.00000003</v>
      </c>
      <c r="O24" s="136">
        <f t="shared" si="14"/>
        <v>186043306.40000004</v>
      </c>
      <c r="P24" s="136">
        <f t="shared" si="14"/>
        <v>166110095.00000003</v>
      </c>
      <c r="Q24" s="136">
        <f t="shared" si="14"/>
        <v>186043306.40000004</v>
      </c>
      <c r="R24" s="98"/>
      <c r="S24" s="91"/>
      <c r="T24" s="91">
        <f t="shared" si="15"/>
        <v>0</v>
      </c>
      <c r="U24" s="91">
        <f t="shared" si="15"/>
        <v>0</v>
      </c>
      <c r="V24" s="91"/>
      <c r="W24" s="91">
        <f t="shared" si="16"/>
        <v>0</v>
      </c>
      <c r="X24" s="91">
        <f t="shared" si="16"/>
        <v>0</v>
      </c>
      <c r="Y24" s="91"/>
      <c r="Z24" s="91">
        <f t="shared" si="17"/>
        <v>0</v>
      </c>
      <c r="AA24" s="91">
        <f t="shared" si="17"/>
        <v>0</v>
      </c>
      <c r="AB24" s="91"/>
      <c r="AC24" s="91">
        <f t="shared" si="18"/>
        <v>126796.34200000003</v>
      </c>
      <c r="AD24" s="91">
        <f t="shared" si="18"/>
        <v>142011.90304000006</v>
      </c>
      <c r="AE24" s="91"/>
      <c r="AF24" s="91">
        <f t="shared" si="19"/>
        <v>125087.57</v>
      </c>
      <c r="AG24" s="91">
        <f t="shared" si="19"/>
        <v>140098.07840000006</v>
      </c>
      <c r="AH24" s="91"/>
      <c r="AI24" s="91">
        <f t="shared" si="20"/>
        <v>-2052.6720000000005</v>
      </c>
      <c r="AJ24" s="91">
        <f t="shared" si="20"/>
        <v>-2298.9926400000004</v>
      </c>
      <c r="AK24" s="91"/>
      <c r="AL24" s="99">
        <f t="shared" si="2"/>
        <v>0.98652349134803885</v>
      </c>
      <c r="AM24" s="91">
        <f t="shared" si="21"/>
        <v>0</v>
      </c>
      <c r="AN24" s="91">
        <f t="shared" si="21"/>
        <v>129839.63499999999</v>
      </c>
      <c r="AO24" s="91">
        <f t="shared" si="21"/>
        <v>0</v>
      </c>
      <c r="AP24" s="91">
        <f t="shared" si="21"/>
        <v>129839.205</v>
      </c>
      <c r="AQ24" s="91">
        <f t="shared" si="21"/>
        <v>145381.50960000002</v>
      </c>
      <c r="AR24" s="91">
        <f t="shared" si="21"/>
        <v>0</v>
      </c>
      <c r="AS24" s="91">
        <f t="shared" si="21"/>
        <v>0</v>
      </c>
      <c r="AT24" s="91">
        <f>AT27+AT42+AT57+AT102+AT105+AT108+AT111+AT114+AT117</f>
        <v>0</v>
      </c>
      <c r="AU24" s="91">
        <f t="shared" si="22"/>
        <v>0</v>
      </c>
      <c r="AV24" s="91">
        <f t="shared" si="22"/>
        <v>0</v>
      </c>
      <c r="AW24" s="91">
        <f t="shared" si="22"/>
        <v>0</v>
      </c>
      <c r="AX24" s="91">
        <f t="shared" si="22"/>
        <v>0</v>
      </c>
      <c r="AY24" s="91">
        <f t="shared" si="22"/>
        <v>0</v>
      </c>
      <c r="AZ24" s="91">
        <f t="shared" si="22"/>
        <v>0</v>
      </c>
      <c r="BA24" s="91">
        <f t="shared" si="22"/>
        <v>0</v>
      </c>
      <c r="BB24" s="91">
        <f t="shared" si="22"/>
        <v>0</v>
      </c>
      <c r="BC24" s="91">
        <f t="shared" si="22"/>
        <v>0</v>
      </c>
      <c r="BD24" s="91">
        <f t="shared" si="22"/>
        <v>0</v>
      </c>
      <c r="BE24" s="91">
        <f t="shared" si="22"/>
        <v>0</v>
      </c>
      <c r="BF24" s="91">
        <f t="shared" si="22"/>
        <v>0</v>
      </c>
      <c r="BG24" s="91"/>
      <c r="BH24" s="91">
        <f>BH25</f>
        <v>0</v>
      </c>
      <c r="BI24" s="91">
        <f>BI25</f>
        <v>0</v>
      </c>
      <c r="BJ24" s="91">
        <f>BJ25</f>
        <v>0</v>
      </c>
      <c r="BK24" s="91">
        <f>BK25</f>
        <v>0</v>
      </c>
      <c r="BL24" s="102"/>
      <c r="BM24" s="102"/>
      <c r="BN24" s="102"/>
      <c r="BQ24" s="29"/>
      <c r="BR24" s="107"/>
      <c r="BS24" s="106"/>
    </row>
    <row r="25" spans="1:71" s="118" customFormat="1" ht="27" customHeight="1" x14ac:dyDescent="0.35">
      <c r="A25" s="432"/>
      <c r="B25" s="434"/>
      <c r="C25" s="108" t="s">
        <v>74</v>
      </c>
      <c r="D25" s="108" t="s">
        <v>76</v>
      </c>
      <c r="E25" s="109">
        <f t="shared" si="12"/>
        <v>131891.87700000004</v>
      </c>
      <c r="F25" s="109">
        <f t="shared" si="12"/>
        <v>147718.90224000005</v>
      </c>
      <c r="G25" s="110"/>
      <c r="H25" s="109"/>
      <c r="I25" s="109">
        <f t="shared" si="13"/>
        <v>131891.87700000004</v>
      </c>
      <c r="J25" s="109">
        <f t="shared" si="13"/>
        <v>147718.90224000005</v>
      </c>
      <c r="K25" s="112"/>
      <c r="L25" s="113"/>
      <c r="M25" s="114"/>
      <c r="N25" s="137">
        <f t="shared" si="14"/>
        <v>166110095.00000003</v>
      </c>
      <c r="O25" s="137">
        <f t="shared" si="14"/>
        <v>186043306.40000004</v>
      </c>
      <c r="P25" s="137">
        <f t="shared" si="14"/>
        <v>166110095.00000003</v>
      </c>
      <c r="Q25" s="137">
        <f t="shared" si="14"/>
        <v>186043306.40000004</v>
      </c>
      <c r="R25" s="138"/>
      <c r="S25" s="109"/>
      <c r="T25" s="109">
        <f t="shared" si="15"/>
        <v>0</v>
      </c>
      <c r="U25" s="109">
        <f t="shared" si="15"/>
        <v>0</v>
      </c>
      <c r="V25" s="109"/>
      <c r="W25" s="109">
        <f t="shared" si="16"/>
        <v>0</v>
      </c>
      <c r="X25" s="109">
        <f t="shared" si="16"/>
        <v>0</v>
      </c>
      <c r="Y25" s="109"/>
      <c r="Z25" s="109">
        <f t="shared" si="17"/>
        <v>0</v>
      </c>
      <c r="AA25" s="109">
        <f t="shared" si="17"/>
        <v>0</v>
      </c>
      <c r="AB25" s="109"/>
      <c r="AC25" s="109">
        <f t="shared" si="18"/>
        <v>126796.34200000003</v>
      </c>
      <c r="AD25" s="109">
        <f t="shared" si="18"/>
        <v>142011.90304000006</v>
      </c>
      <c r="AE25" s="109"/>
      <c r="AF25" s="109">
        <f t="shared" si="19"/>
        <v>125087.57</v>
      </c>
      <c r="AG25" s="109">
        <f t="shared" si="19"/>
        <v>140098.07840000006</v>
      </c>
      <c r="AH25" s="109"/>
      <c r="AI25" s="109">
        <f t="shared" si="20"/>
        <v>-2052.6720000000005</v>
      </c>
      <c r="AJ25" s="109">
        <f t="shared" si="20"/>
        <v>-2298.9926400000063</v>
      </c>
      <c r="AK25" s="109"/>
      <c r="AL25" s="116">
        <f t="shared" si="2"/>
        <v>0.98652349134803885</v>
      </c>
      <c r="AM25" s="109">
        <f t="shared" si="21"/>
        <v>0</v>
      </c>
      <c r="AN25" s="109">
        <f t="shared" si="21"/>
        <v>129839.205</v>
      </c>
      <c r="AO25" s="109">
        <f t="shared" si="21"/>
        <v>0</v>
      </c>
      <c r="AP25" s="109">
        <f t="shared" si="21"/>
        <v>129839.205</v>
      </c>
      <c r="AQ25" s="109">
        <f t="shared" si="21"/>
        <v>145381.50960000002</v>
      </c>
      <c r="AR25" s="109">
        <f t="shared" si="21"/>
        <v>0</v>
      </c>
      <c r="AS25" s="109">
        <f t="shared" si="21"/>
        <v>0</v>
      </c>
      <c r="AT25" s="109">
        <f>AT28+AT43+AT58+AT103+AT106+AT109+AT112+AT115+AT118</f>
        <v>0</v>
      </c>
      <c r="AU25" s="109">
        <f t="shared" si="22"/>
        <v>0</v>
      </c>
      <c r="AV25" s="109">
        <f t="shared" si="22"/>
        <v>0</v>
      </c>
      <c r="AW25" s="109">
        <f t="shared" si="22"/>
        <v>0</v>
      </c>
      <c r="AX25" s="109">
        <f t="shared" si="22"/>
        <v>0</v>
      </c>
      <c r="AY25" s="109">
        <f t="shared" si="22"/>
        <v>0</v>
      </c>
      <c r="AZ25" s="109">
        <f t="shared" si="22"/>
        <v>0</v>
      </c>
      <c r="BA25" s="109">
        <f t="shared" si="22"/>
        <v>0</v>
      </c>
      <c r="BB25" s="109">
        <f t="shared" si="22"/>
        <v>0</v>
      </c>
      <c r="BC25" s="109">
        <f t="shared" si="22"/>
        <v>0</v>
      </c>
      <c r="BD25" s="109">
        <f t="shared" si="22"/>
        <v>0</v>
      </c>
      <c r="BE25" s="109">
        <f t="shared" si="22"/>
        <v>0</v>
      </c>
      <c r="BF25" s="109">
        <f t="shared" si="22"/>
        <v>0</v>
      </c>
      <c r="BG25" s="109"/>
      <c r="BH25" s="109">
        <f>BH28+BH43+BH103+BH118+BH106+BH109+BH112+BH115+BH31+BH34+BH37+BH40+BH49+BH52+BH55+BH58+BH61+BH64+BH85+BH100</f>
        <v>0</v>
      </c>
      <c r="BI25" s="109">
        <f>BI28+BI43+BI103+BI118+BI106+BI109+BI112+BI115+BI31+BI34+BI37+BI40+BI49+BI52+BI55+BI58+BI61+BI64+BI85+BI100</f>
        <v>0</v>
      </c>
      <c r="BJ25" s="109">
        <f>BJ28+BJ43+BJ103+BJ118+BJ106+BJ109+BJ112+BJ115+BJ31+BJ34+BJ37+BJ40+BJ49+BJ52+BJ55+BJ58+BJ61+BJ64+BJ85+BJ100</f>
        <v>0</v>
      </c>
      <c r="BK25" s="109">
        <f>BK28+BK43+BK103+BK118+BK106+BK109+BK112+BK115+BK31+BK34+BK37+BK40+BK49+BK52+BK55+BK58+BK61+BK64+BK85+BK100</f>
        <v>0</v>
      </c>
      <c r="BL25" s="117"/>
      <c r="BM25" s="117"/>
      <c r="BN25" s="117"/>
      <c r="BQ25" s="119"/>
      <c r="BR25" s="120"/>
      <c r="BS25" s="121"/>
    </row>
    <row r="26" spans="1:71" s="103" customFormat="1" ht="12.75" customHeight="1" x14ac:dyDescent="0.35">
      <c r="A26" s="438">
        <v>1</v>
      </c>
      <c r="B26" s="436" t="s">
        <v>81</v>
      </c>
      <c r="C26" s="122" t="s">
        <v>72</v>
      </c>
      <c r="D26" s="122" t="s">
        <v>73</v>
      </c>
      <c r="E26" s="123">
        <f>I26</f>
        <v>0</v>
      </c>
      <c r="F26" s="124">
        <f>E26*1.12</f>
        <v>0</v>
      </c>
      <c r="G26" s="532">
        <v>2020</v>
      </c>
      <c r="H26" s="471"/>
      <c r="I26" s="124"/>
      <c r="J26" s="124">
        <f>I26*1.12</f>
        <v>0</v>
      </c>
      <c r="K26" s="559" t="s">
        <v>82</v>
      </c>
      <c r="L26" s="562" t="s">
        <v>83</v>
      </c>
      <c r="M26" s="521"/>
      <c r="N26" s="125">
        <f>O26/1.12</f>
        <v>35000000</v>
      </c>
      <c r="O26" s="139">
        <v>39200000</v>
      </c>
      <c r="P26" s="125">
        <f t="shared" ref="P26:Q41" si="23">N26</f>
        <v>35000000</v>
      </c>
      <c r="Q26" s="125">
        <f t="shared" si="23"/>
        <v>39200000</v>
      </c>
      <c r="R26" s="524"/>
      <c r="S26" s="471"/>
      <c r="T26" s="124"/>
      <c r="U26" s="124"/>
      <c r="V26" s="124"/>
      <c r="W26" s="124"/>
      <c r="X26" s="124"/>
      <c r="Y26" s="124"/>
      <c r="Z26" s="124">
        <f t="shared" ref="Z26:AA41" si="24">T26+W26</f>
        <v>0</v>
      </c>
      <c r="AA26" s="124">
        <f t="shared" si="24"/>
        <v>0</v>
      </c>
      <c r="AB26" s="124"/>
      <c r="AC26" s="124"/>
      <c r="AD26" s="124">
        <f t="shared" ref="AD26:AD115" si="25">AC26*1.12</f>
        <v>0</v>
      </c>
      <c r="AE26" s="124"/>
      <c r="AF26" s="140">
        <v>35000</v>
      </c>
      <c r="AG26" s="123">
        <f t="shared" ref="AG26:AG100" si="26">AF26*1.12</f>
        <v>39200.000000000007</v>
      </c>
      <c r="AH26" s="124"/>
      <c r="AI26" s="123">
        <f t="shared" ref="AI26:AJ40" si="27">AF26-AC26</f>
        <v>35000</v>
      </c>
      <c r="AJ26" s="123">
        <f t="shared" si="27"/>
        <v>39200.000000000007</v>
      </c>
      <c r="AK26" s="123"/>
      <c r="AL26" s="126" t="str">
        <f t="shared" si="2"/>
        <v/>
      </c>
      <c r="AM26" s="127"/>
      <c r="AN26" s="127"/>
      <c r="AO26" s="127"/>
      <c r="AP26" s="123">
        <f>I26</f>
        <v>0</v>
      </c>
      <c r="AQ26" s="123">
        <f>AP26</f>
        <v>0</v>
      </c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>
        <f>AF26-AC26</f>
        <v>35000</v>
      </c>
      <c r="BG26" s="440" t="s">
        <v>84</v>
      </c>
      <c r="BH26" s="128"/>
      <c r="BI26" s="128"/>
      <c r="BJ26" s="128"/>
      <c r="BK26" s="128"/>
      <c r="BL26" s="128"/>
      <c r="BM26" s="128"/>
      <c r="BN26" s="128"/>
      <c r="BQ26" s="29"/>
      <c r="BR26" s="107"/>
      <c r="BS26" s="106"/>
    </row>
    <row r="27" spans="1:71" s="103" customFormat="1" x14ac:dyDescent="0.35">
      <c r="A27" s="499"/>
      <c r="B27" s="470"/>
      <c r="C27" s="122" t="s">
        <v>74</v>
      </c>
      <c r="D27" s="122" t="s">
        <v>75</v>
      </c>
      <c r="E27" s="123">
        <f>I27</f>
        <v>0</v>
      </c>
      <c r="F27" s="124">
        <f>E27*1.12</f>
        <v>0</v>
      </c>
      <c r="G27" s="533"/>
      <c r="H27" s="472"/>
      <c r="I27" s="124"/>
      <c r="J27" s="124">
        <f>I27*1.12</f>
        <v>0</v>
      </c>
      <c r="K27" s="560"/>
      <c r="L27" s="563"/>
      <c r="M27" s="522"/>
      <c r="N27" s="125">
        <f>N26</f>
        <v>35000000</v>
      </c>
      <c r="O27" s="125">
        <f>O26</f>
        <v>39200000</v>
      </c>
      <c r="P27" s="125">
        <f t="shared" si="23"/>
        <v>35000000</v>
      </c>
      <c r="Q27" s="125">
        <f t="shared" si="23"/>
        <v>39200000</v>
      </c>
      <c r="R27" s="525"/>
      <c r="S27" s="472"/>
      <c r="T27" s="124"/>
      <c r="U27" s="124"/>
      <c r="V27" s="124"/>
      <c r="W27" s="124"/>
      <c r="X27" s="124"/>
      <c r="Y27" s="124"/>
      <c r="Z27" s="124">
        <f t="shared" si="24"/>
        <v>0</v>
      </c>
      <c r="AA27" s="124">
        <f t="shared" si="24"/>
        <v>0</v>
      </c>
      <c r="AB27" s="124"/>
      <c r="AC27" s="124"/>
      <c r="AD27" s="124">
        <f t="shared" si="25"/>
        <v>0</v>
      </c>
      <c r="AE27" s="124"/>
      <c r="AF27" s="124"/>
      <c r="AG27" s="123">
        <f t="shared" si="26"/>
        <v>0</v>
      </c>
      <c r="AH27" s="124"/>
      <c r="AI27" s="123">
        <f t="shared" si="27"/>
        <v>0</v>
      </c>
      <c r="AJ27" s="123">
        <f t="shared" si="27"/>
        <v>0</v>
      </c>
      <c r="AK27" s="123"/>
      <c r="AL27" s="126" t="str">
        <f t="shared" si="2"/>
        <v/>
      </c>
      <c r="AM27" s="127"/>
      <c r="AN27" s="127"/>
      <c r="AO27" s="127"/>
      <c r="AP27" s="123">
        <f>I27</f>
        <v>0</v>
      </c>
      <c r="AQ27" s="123">
        <f>AP27*1.12</f>
        <v>0</v>
      </c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527"/>
      <c r="BH27" s="128"/>
      <c r="BI27" s="128"/>
      <c r="BJ27" s="128"/>
      <c r="BK27" s="128"/>
      <c r="BL27" s="128"/>
      <c r="BM27" s="128"/>
      <c r="BN27" s="128"/>
      <c r="BQ27" s="29"/>
      <c r="BR27" s="107"/>
      <c r="BS27" s="106"/>
    </row>
    <row r="28" spans="1:71" ht="24" customHeight="1" x14ac:dyDescent="0.35">
      <c r="A28" s="499"/>
      <c r="B28" s="470"/>
      <c r="C28" s="129" t="s">
        <v>74</v>
      </c>
      <c r="D28" s="129" t="s">
        <v>76</v>
      </c>
      <c r="E28" s="130">
        <f>I28</f>
        <v>0</v>
      </c>
      <c r="F28" s="131">
        <f>E28*1.12</f>
        <v>0</v>
      </c>
      <c r="G28" s="534"/>
      <c r="H28" s="473"/>
      <c r="I28" s="131">
        <f>I27</f>
        <v>0</v>
      </c>
      <c r="J28" s="131">
        <f>I28*1.12</f>
        <v>0</v>
      </c>
      <c r="K28" s="561"/>
      <c r="L28" s="564"/>
      <c r="M28" s="523"/>
      <c r="N28" s="132">
        <f>N27</f>
        <v>35000000</v>
      </c>
      <c r="O28" s="132">
        <f>O27</f>
        <v>39200000</v>
      </c>
      <c r="P28" s="132">
        <f t="shared" si="23"/>
        <v>35000000</v>
      </c>
      <c r="Q28" s="132">
        <f t="shared" si="23"/>
        <v>39200000</v>
      </c>
      <c r="R28" s="526"/>
      <c r="S28" s="473"/>
      <c r="T28" s="131"/>
      <c r="U28" s="131"/>
      <c r="V28" s="131"/>
      <c r="W28" s="131"/>
      <c r="X28" s="131"/>
      <c r="Y28" s="131"/>
      <c r="Z28" s="131">
        <f t="shared" si="24"/>
        <v>0</v>
      </c>
      <c r="AA28" s="131">
        <f t="shared" si="24"/>
        <v>0</v>
      </c>
      <c r="AB28" s="131"/>
      <c r="AC28" s="131">
        <f>AC27</f>
        <v>0</v>
      </c>
      <c r="AD28" s="131">
        <f t="shared" si="25"/>
        <v>0</v>
      </c>
      <c r="AE28" s="131"/>
      <c r="AF28" s="131"/>
      <c r="AG28" s="130">
        <f t="shared" si="26"/>
        <v>0</v>
      </c>
      <c r="AH28" s="131"/>
      <c r="AI28" s="130">
        <f t="shared" si="27"/>
        <v>0</v>
      </c>
      <c r="AJ28" s="130">
        <f t="shared" si="27"/>
        <v>0</v>
      </c>
      <c r="AK28" s="130"/>
      <c r="AL28" s="133" t="str">
        <f t="shared" si="2"/>
        <v/>
      </c>
      <c r="AM28" s="134"/>
      <c r="AN28" s="134"/>
      <c r="AO28" s="134"/>
      <c r="AP28" s="130">
        <f>AP27</f>
        <v>0</v>
      </c>
      <c r="AQ28" s="130">
        <f>AP28*1.12</f>
        <v>0</v>
      </c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441"/>
      <c r="BH28" s="135"/>
      <c r="BI28" s="135"/>
      <c r="BJ28" s="135"/>
      <c r="BK28" s="135"/>
      <c r="BL28" s="135"/>
      <c r="BM28" s="135"/>
      <c r="BN28" s="135"/>
      <c r="BQ28" s="27"/>
      <c r="BR28" s="28"/>
      <c r="BS28" s="31"/>
    </row>
    <row r="29" spans="1:71" ht="55" hidden="1" customHeight="1" x14ac:dyDescent="0.35">
      <c r="A29" s="499"/>
      <c r="B29" s="470"/>
      <c r="C29" s="122" t="s">
        <v>72</v>
      </c>
      <c r="D29" s="122" t="s">
        <v>73</v>
      </c>
      <c r="E29" s="123"/>
      <c r="F29" s="124"/>
      <c r="G29" s="532"/>
      <c r="H29" s="471"/>
      <c r="I29" s="124"/>
      <c r="J29" s="124"/>
      <c r="K29" s="559"/>
      <c r="L29" s="562"/>
      <c r="M29" s="521"/>
      <c r="N29" s="125">
        <f>O29/1.12</f>
        <v>0</v>
      </c>
      <c r="O29" s="139"/>
      <c r="P29" s="125">
        <f t="shared" si="23"/>
        <v>0</v>
      </c>
      <c r="Q29" s="125">
        <f t="shared" si="23"/>
        <v>0</v>
      </c>
      <c r="R29" s="524"/>
      <c r="S29" s="471"/>
      <c r="T29" s="124"/>
      <c r="U29" s="124"/>
      <c r="V29" s="124"/>
      <c r="W29" s="124"/>
      <c r="X29" s="124"/>
      <c r="Y29" s="124"/>
      <c r="Z29" s="124">
        <f t="shared" si="24"/>
        <v>0</v>
      </c>
      <c r="AA29" s="124">
        <f t="shared" si="24"/>
        <v>0</v>
      </c>
      <c r="AB29" s="124"/>
      <c r="AC29" s="124"/>
      <c r="AD29" s="124">
        <f t="shared" si="25"/>
        <v>0</v>
      </c>
      <c r="AE29" s="124"/>
      <c r="AF29" s="140"/>
      <c r="AG29" s="123">
        <f t="shared" si="26"/>
        <v>0</v>
      </c>
      <c r="AH29" s="124"/>
      <c r="AI29" s="123">
        <f t="shared" si="27"/>
        <v>0</v>
      </c>
      <c r="AJ29" s="123">
        <f t="shared" si="27"/>
        <v>0</v>
      </c>
      <c r="AK29" s="123"/>
      <c r="AL29" s="126" t="str">
        <f t="shared" si="2"/>
        <v/>
      </c>
      <c r="AM29" s="127"/>
      <c r="AN29" s="127"/>
      <c r="AO29" s="127"/>
      <c r="AP29" s="123"/>
      <c r="AQ29" s="123">
        <f>AP29</f>
        <v>0</v>
      </c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440"/>
      <c r="BH29" s="128"/>
      <c r="BI29" s="128"/>
      <c r="BJ29" s="128"/>
      <c r="BK29" s="128"/>
      <c r="BL29" s="128"/>
      <c r="BM29" s="128"/>
      <c r="BN29" s="128"/>
      <c r="BO29" s="103"/>
      <c r="BP29" s="103"/>
      <c r="BQ29" s="29"/>
      <c r="BR29" s="107"/>
      <c r="BS29" s="31"/>
    </row>
    <row r="30" spans="1:71" hidden="1" outlineLevel="1" x14ac:dyDescent="0.35">
      <c r="A30" s="499"/>
      <c r="B30" s="470"/>
      <c r="C30" s="122" t="s">
        <v>74</v>
      </c>
      <c r="D30" s="122" t="s">
        <v>75</v>
      </c>
      <c r="E30" s="123"/>
      <c r="F30" s="124"/>
      <c r="G30" s="533"/>
      <c r="H30" s="472"/>
      <c r="I30" s="124"/>
      <c r="J30" s="124"/>
      <c r="K30" s="560"/>
      <c r="L30" s="563"/>
      <c r="M30" s="522"/>
      <c r="N30" s="125">
        <f>N29</f>
        <v>0</v>
      </c>
      <c r="O30" s="125">
        <f>O29</f>
        <v>0</v>
      </c>
      <c r="P30" s="125">
        <f t="shared" si="23"/>
        <v>0</v>
      </c>
      <c r="Q30" s="125">
        <f t="shared" si="23"/>
        <v>0</v>
      </c>
      <c r="R30" s="525"/>
      <c r="S30" s="472"/>
      <c r="T30" s="124"/>
      <c r="U30" s="124"/>
      <c r="V30" s="124"/>
      <c r="W30" s="124"/>
      <c r="X30" s="124"/>
      <c r="Y30" s="124"/>
      <c r="Z30" s="124">
        <f t="shared" si="24"/>
        <v>0</v>
      </c>
      <c r="AA30" s="124">
        <f t="shared" si="24"/>
        <v>0</v>
      </c>
      <c r="AB30" s="124"/>
      <c r="AC30" s="124"/>
      <c r="AD30" s="124">
        <f t="shared" si="25"/>
        <v>0</v>
      </c>
      <c r="AE30" s="124"/>
      <c r="AF30" s="124"/>
      <c r="AG30" s="123">
        <f t="shared" si="26"/>
        <v>0</v>
      </c>
      <c r="AH30" s="124"/>
      <c r="AI30" s="123">
        <f t="shared" si="27"/>
        <v>0</v>
      </c>
      <c r="AJ30" s="123">
        <f t="shared" si="27"/>
        <v>0</v>
      </c>
      <c r="AK30" s="123"/>
      <c r="AL30" s="126" t="str">
        <f t="shared" si="2"/>
        <v/>
      </c>
      <c r="AM30" s="127"/>
      <c r="AN30" s="127"/>
      <c r="AO30" s="127"/>
      <c r="AP30" s="123">
        <f>AP29</f>
        <v>0</v>
      </c>
      <c r="AQ30" s="123">
        <f>AP30*1.12</f>
        <v>0</v>
      </c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527"/>
      <c r="BH30" s="128"/>
      <c r="BI30" s="128"/>
      <c r="BJ30" s="128"/>
      <c r="BK30" s="128"/>
      <c r="BL30" s="128"/>
      <c r="BM30" s="128"/>
      <c r="BN30" s="128"/>
      <c r="BO30" s="103"/>
      <c r="BP30" s="103"/>
      <c r="BQ30" s="29"/>
      <c r="BR30" s="107"/>
      <c r="BS30" s="31"/>
    </row>
    <row r="31" spans="1:71" hidden="1" outlineLevel="1" x14ac:dyDescent="0.35">
      <c r="A31" s="499"/>
      <c r="B31" s="470"/>
      <c r="C31" s="129" t="s">
        <v>74</v>
      </c>
      <c r="D31" s="129" t="s">
        <v>76</v>
      </c>
      <c r="E31" s="130"/>
      <c r="F31" s="131"/>
      <c r="G31" s="534"/>
      <c r="H31" s="473"/>
      <c r="I31" s="131"/>
      <c r="J31" s="131"/>
      <c r="K31" s="561"/>
      <c r="L31" s="564"/>
      <c r="M31" s="523"/>
      <c r="N31" s="132">
        <f>N30</f>
        <v>0</v>
      </c>
      <c r="O31" s="132">
        <f>O30</f>
        <v>0</v>
      </c>
      <c r="P31" s="132">
        <f t="shared" si="23"/>
        <v>0</v>
      </c>
      <c r="Q31" s="132">
        <f t="shared" si="23"/>
        <v>0</v>
      </c>
      <c r="R31" s="526"/>
      <c r="S31" s="473"/>
      <c r="T31" s="131"/>
      <c r="U31" s="131"/>
      <c r="V31" s="131"/>
      <c r="W31" s="131"/>
      <c r="X31" s="131"/>
      <c r="Y31" s="131"/>
      <c r="Z31" s="131">
        <f t="shared" si="24"/>
        <v>0</v>
      </c>
      <c r="AA31" s="131">
        <f t="shared" si="24"/>
        <v>0</v>
      </c>
      <c r="AB31" s="131"/>
      <c r="AC31" s="131"/>
      <c r="AD31" s="131">
        <f t="shared" si="25"/>
        <v>0</v>
      </c>
      <c r="AE31" s="131"/>
      <c r="AF31" s="131"/>
      <c r="AG31" s="130">
        <f t="shared" si="26"/>
        <v>0</v>
      </c>
      <c r="AH31" s="131"/>
      <c r="AI31" s="130">
        <f t="shared" si="27"/>
        <v>0</v>
      </c>
      <c r="AJ31" s="130">
        <f t="shared" si="27"/>
        <v>0</v>
      </c>
      <c r="AK31" s="130"/>
      <c r="AL31" s="133" t="str">
        <f t="shared" si="2"/>
        <v/>
      </c>
      <c r="AM31" s="134"/>
      <c r="AN31" s="134"/>
      <c r="AO31" s="134"/>
      <c r="AP31" s="130">
        <f>AP30</f>
        <v>0</v>
      </c>
      <c r="AQ31" s="130">
        <f>AP31*1.12</f>
        <v>0</v>
      </c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441"/>
      <c r="BH31" s="135"/>
      <c r="BI31" s="135"/>
      <c r="BJ31" s="135"/>
      <c r="BK31" s="135"/>
      <c r="BL31" s="135"/>
      <c r="BM31" s="135"/>
      <c r="BN31" s="135"/>
      <c r="BQ31" s="27"/>
      <c r="BR31" s="28"/>
      <c r="BS31" s="31"/>
    </row>
    <row r="32" spans="1:71" ht="23" hidden="1" customHeight="1" outlineLevel="1" x14ac:dyDescent="0.35">
      <c r="A32" s="499"/>
      <c r="B32" s="470"/>
      <c r="C32" s="122" t="s">
        <v>72</v>
      </c>
      <c r="D32" s="122" t="s">
        <v>73</v>
      </c>
      <c r="E32" s="123"/>
      <c r="F32" s="124"/>
      <c r="G32" s="532"/>
      <c r="H32" s="471"/>
      <c r="I32" s="124"/>
      <c r="J32" s="124"/>
      <c r="K32" s="535"/>
      <c r="L32" s="436"/>
      <c r="M32" s="521"/>
      <c r="N32" s="125">
        <f>O32/1.12</f>
        <v>0</v>
      </c>
      <c r="O32" s="125"/>
      <c r="P32" s="125">
        <f t="shared" si="23"/>
        <v>0</v>
      </c>
      <c r="Q32" s="125">
        <f t="shared" si="23"/>
        <v>0</v>
      </c>
      <c r="R32" s="524"/>
      <c r="S32" s="471"/>
      <c r="T32" s="124"/>
      <c r="U32" s="124"/>
      <c r="V32" s="124"/>
      <c r="W32" s="124"/>
      <c r="X32" s="124"/>
      <c r="Y32" s="124"/>
      <c r="Z32" s="124">
        <f t="shared" si="24"/>
        <v>0</v>
      </c>
      <c r="AA32" s="124">
        <f t="shared" si="24"/>
        <v>0</v>
      </c>
      <c r="AB32" s="124"/>
      <c r="AC32" s="124"/>
      <c r="AD32" s="124">
        <f t="shared" si="25"/>
        <v>0</v>
      </c>
      <c r="AE32" s="124"/>
      <c r="AF32" s="124"/>
      <c r="AG32" s="123">
        <f t="shared" si="26"/>
        <v>0</v>
      </c>
      <c r="AH32" s="124"/>
      <c r="AI32" s="123">
        <f t="shared" si="27"/>
        <v>0</v>
      </c>
      <c r="AJ32" s="123">
        <f t="shared" si="27"/>
        <v>0</v>
      </c>
      <c r="AK32" s="123"/>
      <c r="AL32" s="126" t="str">
        <f t="shared" si="2"/>
        <v/>
      </c>
      <c r="AM32" s="127"/>
      <c r="AN32" s="127"/>
      <c r="AO32" s="127"/>
      <c r="AP32" s="123"/>
      <c r="AQ32" s="123">
        <f>AP32</f>
        <v>0</v>
      </c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440"/>
      <c r="BH32" s="128"/>
      <c r="BI32" s="128"/>
      <c r="BJ32" s="128"/>
      <c r="BK32" s="128"/>
      <c r="BL32" s="128"/>
      <c r="BM32" s="128"/>
      <c r="BN32" s="128"/>
      <c r="BO32" s="103"/>
      <c r="BP32" s="103"/>
      <c r="BQ32" s="29"/>
      <c r="BR32" s="107"/>
      <c r="BS32" s="31"/>
    </row>
    <row r="33" spans="1:71" hidden="1" outlineLevel="1" x14ac:dyDescent="0.35">
      <c r="A33" s="499"/>
      <c r="B33" s="470"/>
      <c r="C33" s="122" t="s">
        <v>74</v>
      </c>
      <c r="D33" s="122" t="s">
        <v>75</v>
      </c>
      <c r="E33" s="123"/>
      <c r="F33" s="124"/>
      <c r="G33" s="533"/>
      <c r="H33" s="472"/>
      <c r="I33" s="124"/>
      <c r="J33" s="124"/>
      <c r="K33" s="536"/>
      <c r="L33" s="470"/>
      <c r="M33" s="522"/>
      <c r="N33" s="125">
        <f>N32</f>
        <v>0</v>
      </c>
      <c r="O33" s="125">
        <f>O32</f>
        <v>0</v>
      </c>
      <c r="P33" s="125">
        <f t="shared" si="23"/>
        <v>0</v>
      </c>
      <c r="Q33" s="125">
        <f t="shared" si="23"/>
        <v>0</v>
      </c>
      <c r="R33" s="525"/>
      <c r="S33" s="472"/>
      <c r="T33" s="124"/>
      <c r="U33" s="124"/>
      <c r="V33" s="124"/>
      <c r="W33" s="124"/>
      <c r="X33" s="124"/>
      <c r="Y33" s="124"/>
      <c r="Z33" s="124">
        <f t="shared" si="24"/>
        <v>0</v>
      </c>
      <c r="AA33" s="124">
        <f t="shared" si="24"/>
        <v>0</v>
      </c>
      <c r="AB33" s="124"/>
      <c r="AC33" s="124"/>
      <c r="AD33" s="124">
        <f t="shared" si="25"/>
        <v>0</v>
      </c>
      <c r="AE33" s="124"/>
      <c r="AF33" s="124"/>
      <c r="AG33" s="123">
        <f t="shared" si="26"/>
        <v>0</v>
      </c>
      <c r="AH33" s="124"/>
      <c r="AI33" s="123">
        <f t="shared" si="27"/>
        <v>0</v>
      </c>
      <c r="AJ33" s="123">
        <f t="shared" si="27"/>
        <v>0</v>
      </c>
      <c r="AK33" s="123"/>
      <c r="AL33" s="126" t="str">
        <f t="shared" si="2"/>
        <v/>
      </c>
      <c r="AM33" s="127"/>
      <c r="AN33" s="127"/>
      <c r="AO33" s="127"/>
      <c r="AP33" s="123">
        <f>AP32</f>
        <v>0</v>
      </c>
      <c r="AQ33" s="123">
        <f>AP33*1.12</f>
        <v>0</v>
      </c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527"/>
      <c r="BH33" s="128"/>
      <c r="BI33" s="128"/>
      <c r="BJ33" s="128"/>
      <c r="BK33" s="128"/>
      <c r="BL33" s="128"/>
      <c r="BM33" s="128"/>
      <c r="BN33" s="128"/>
      <c r="BO33" s="103"/>
      <c r="BP33" s="103"/>
      <c r="BQ33" s="29"/>
      <c r="BR33" s="107"/>
      <c r="BS33" s="31"/>
    </row>
    <row r="34" spans="1:71" hidden="1" outlineLevel="1" x14ac:dyDescent="0.35">
      <c r="A34" s="499"/>
      <c r="B34" s="470"/>
      <c r="C34" s="129" t="s">
        <v>74</v>
      </c>
      <c r="D34" s="129" t="s">
        <v>76</v>
      </c>
      <c r="E34" s="130"/>
      <c r="F34" s="131"/>
      <c r="G34" s="534"/>
      <c r="H34" s="473"/>
      <c r="I34" s="131"/>
      <c r="J34" s="131"/>
      <c r="K34" s="537"/>
      <c r="L34" s="437"/>
      <c r="M34" s="523"/>
      <c r="N34" s="132">
        <f>N33</f>
        <v>0</v>
      </c>
      <c r="O34" s="132">
        <f>O33</f>
        <v>0</v>
      </c>
      <c r="P34" s="132">
        <f t="shared" si="23"/>
        <v>0</v>
      </c>
      <c r="Q34" s="132">
        <f t="shared" si="23"/>
        <v>0</v>
      </c>
      <c r="R34" s="526"/>
      <c r="S34" s="473"/>
      <c r="T34" s="131"/>
      <c r="U34" s="131"/>
      <c r="V34" s="131"/>
      <c r="W34" s="131"/>
      <c r="X34" s="131"/>
      <c r="Y34" s="131"/>
      <c r="Z34" s="131">
        <f t="shared" si="24"/>
        <v>0</v>
      </c>
      <c r="AA34" s="131">
        <f t="shared" si="24"/>
        <v>0</v>
      </c>
      <c r="AB34" s="131"/>
      <c r="AC34" s="131"/>
      <c r="AD34" s="131">
        <f t="shared" si="25"/>
        <v>0</v>
      </c>
      <c r="AE34" s="131"/>
      <c r="AF34" s="131"/>
      <c r="AG34" s="130">
        <f t="shared" si="26"/>
        <v>0</v>
      </c>
      <c r="AH34" s="131"/>
      <c r="AI34" s="130">
        <f t="shared" si="27"/>
        <v>0</v>
      </c>
      <c r="AJ34" s="130">
        <f t="shared" si="27"/>
        <v>0</v>
      </c>
      <c r="AK34" s="130"/>
      <c r="AL34" s="133" t="str">
        <f t="shared" si="2"/>
        <v/>
      </c>
      <c r="AM34" s="134"/>
      <c r="AN34" s="134"/>
      <c r="AO34" s="134"/>
      <c r="AP34" s="130">
        <f>AP33</f>
        <v>0</v>
      </c>
      <c r="AQ34" s="130">
        <f>AP34*1.12</f>
        <v>0</v>
      </c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441"/>
      <c r="BH34" s="135"/>
      <c r="BI34" s="135"/>
      <c r="BJ34" s="135"/>
      <c r="BK34" s="135"/>
      <c r="BL34" s="135"/>
      <c r="BM34" s="135"/>
      <c r="BN34" s="135"/>
      <c r="BQ34" s="27"/>
      <c r="BR34" s="28"/>
      <c r="BS34" s="31"/>
    </row>
    <row r="35" spans="1:71" hidden="1" outlineLevel="1" x14ac:dyDescent="0.35">
      <c r="A35" s="499"/>
      <c r="B35" s="470"/>
      <c r="C35" s="122" t="s">
        <v>72</v>
      </c>
      <c r="D35" s="122" t="s">
        <v>73</v>
      </c>
      <c r="E35" s="123"/>
      <c r="F35" s="124"/>
      <c r="G35" s="532"/>
      <c r="H35" s="471"/>
      <c r="I35" s="124"/>
      <c r="J35" s="124"/>
      <c r="K35" s="535"/>
      <c r="L35" s="436"/>
      <c r="M35" s="521"/>
      <c r="N35" s="125">
        <f>O35/1.12</f>
        <v>0</v>
      </c>
      <c r="O35" s="125"/>
      <c r="P35" s="125">
        <f t="shared" si="23"/>
        <v>0</v>
      </c>
      <c r="Q35" s="125">
        <f t="shared" si="23"/>
        <v>0</v>
      </c>
      <c r="R35" s="524"/>
      <c r="S35" s="471"/>
      <c r="T35" s="124"/>
      <c r="U35" s="124"/>
      <c r="V35" s="124"/>
      <c r="W35" s="124"/>
      <c r="X35" s="124"/>
      <c r="Y35" s="124"/>
      <c r="Z35" s="124">
        <f t="shared" si="24"/>
        <v>0</v>
      </c>
      <c r="AA35" s="124">
        <f t="shared" si="24"/>
        <v>0</v>
      </c>
      <c r="AB35" s="124"/>
      <c r="AC35" s="124"/>
      <c r="AD35" s="124">
        <f t="shared" si="25"/>
        <v>0</v>
      </c>
      <c r="AE35" s="124"/>
      <c r="AF35" s="124"/>
      <c r="AG35" s="123">
        <f t="shared" si="26"/>
        <v>0</v>
      </c>
      <c r="AH35" s="124"/>
      <c r="AI35" s="123">
        <f t="shared" si="27"/>
        <v>0</v>
      </c>
      <c r="AJ35" s="123">
        <f t="shared" si="27"/>
        <v>0</v>
      </c>
      <c r="AK35" s="123"/>
      <c r="AL35" s="126" t="str">
        <f t="shared" si="2"/>
        <v/>
      </c>
      <c r="AM35" s="127"/>
      <c r="AN35" s="127"/>
      <c r="AO35" s="127"/>
      <c r="AP35" s="123"/>
      <c r="AQ35" s="123">
        <f>AP35</f>
        <v>0</v>
      </c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440"/>
      <c r="BH35" s="128"/>
      <c r="BI35" s="128"/>
      <c r="BJ35" s="128"/>
      <c r="BK35" s="128"/>
      <c r="BL35" s="128"/>
      <c r="BM35" s="128"/>
      <c r="BN35" s="128"/>
      <c r="BO35" s="103"/>
      <c r="BP35" s="103"/>
      <c r="BQ35" s="29"/>
      <c r="BR35" s="107"/>
      <c r="BS35" s="31"/>
    </row>
    <row r="36" spans="1:71" hidden="1" outlineLevel="1" x14ac:dyDescent="0.35">
      <c r="A36" s="499"/>
      <c r="B36" s="470"/>
      <c r="C36" s="122" t="s">
        <v>74</v>
      </c>
      <c r="D36" s="122" t="s">
        <v>75</v>
      </c>
      <c r="E36" s="123"/>
      <c r="F36" s="124"/>
      <c r="G36" s="533"/>
      <c r="H36" s="472"/>
      <c r="I36" s="124"/>
      <c r="J36" s="124"/>
      <c r="K36" s="536"/>
      <c r="L36" s="470"/>
      <c r="M36" s="522"/>
      <c r="N36" s="125">
        <f>N35</f>
        <v>0</v>
      </c>
      <c r="O36" s="125">
        <f>O35</f>
        <v>0</v>
      </c>
      <c r="P36" s="125">
        <f t="shared" si="23"/>
        <v>0</v>
      </c>
      <c r="Q36" s="125">
        <f t="shared" si="23"/>
        <v>0</v>
      </c>
      <c r="R36" s="525"/>
      <c r="S36" s="472"/>
      <c r="T36" s="124"/>
      <c r="U36" s="124"/>
      <c r="V36" s="124"/>
      <c r="W36" s="124"/>
      <c r="X36" s="124"/>
      <c r="Y36" s="124"/>
      <c r="Z36" s="124">
        <f t="shared" si="24"/>
        <v>0</v>
      </c>
      <c r="AA36" s="124">
        <f t="shared" si="24"/>
        <v>0</v>
      </c>
      <c r="AB36" s="124"/>
      <c r="AC36" s="124"/>
      <c r="AD36" s="124">
        <f t="shared" si="25"/>
        <v>0</v>
      </c>
      <c r="AE36" s="124"/>
      <c r="AF36" s="124"/>
      <c r="AG36" s="123">
        <f t="shared" si="26"/>
        <v>0</v>
      </c>
      <c r="AH36" s="124"/>
      <c r="AI36" s="123">
        <f t="shared" si="27"/>
        <v>0</v>
      </c>
      <c r="AJ36" s="123">
        <f t="shared" si="27"/>
        <v>0</v>
      </c>
      <c r="AK36" s="123"/>
      <c r="AL36" s="126" t="str">
        <f t="shared" si="2"/>
        <v/>
      </c>
      <c r="AM36" s="127"/>
      <c r="AN36" s="127"/>
      <c r="AO36" s="127"/>
      <c r="AP36" s="123">
        <f>AP35</f>
        <v>0</v>
      </c>
      <c r="AQ36" s="123">
        <f>AP36*1.12</f>
        <v>0</v>
      </c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527"/>
      <c r="BH36" s="128"/>
      <c r="BI36" s="128"/>
      <c r="BJ36" s="128"/>
      <c r="BK36" s="128"/>
      <c r="BL36" s="128"/>
      <c r="BM36" s="128"/>
      <c r="BN36" s="128"/>
      <c r="BO36" s="103"/>
      <c r="BP36" s="103"/>
      <c r="BQ36" s="29"/>
      <c r="BR36" s="107"/>
      <c r="BS36" s="31"/>
    </row>
    <row r="37" spans="1:71" hidden="1" outlineLevel="1" x14ac:dyDescent="0.35">
      <c r="A37" s="499"/>
      <c r="B37" s="470"/>
      <c r="C37" s="129" t="s">
        <v>74</v>
      </c>
      <c r="D37" s="129" t="s">
        <v>76</v>
      </c>
      <c r="E37" s="130"/>
      <c r="F37" s="131"/>
      <c r="G37" s="534"/>
      <c r="H37" s="473"/>
      <c r="I37" s="131"/>
      <c r="J37" s="131"/>
      <c r="K37" s="537"/>
      <c r="L37" s="437"/>
      <c r="M37" s="523"/>
      <c r="N37" s="132">
        <f>N36</f>
        <v>0</v>
      </c>
      <c r="O37" s="132">
        <f>O36</f>
        <v>0</v>
      </c>
      <c r="P37" s="132">
        <f t="shared" si="23"/>
        <v>0</v>
      </c>
      <c r="Q37" s="132">
        <f t="shared" si="23"/>
        <v>0</v>
      </c>
      <c r="R37" s="526"/>
      <c r="S37" s="473"/>
      <c r="T37" s="131"/>
      <c r="U37" s="131"/>
      <c r="V37" s="131"/>
      <c r="W37" s="131"/>
      <c r="X37" s="131"/>
      <c r="Y37" s="131"/>
      <c r="Z37" s="131">
        <f t="shared" si="24"/>
        <v>0</v>
      </c>
      <c r="AA37" s="131">
        <f t="shared" si="24"/>
        <v>0</v>
      </c>
      <c r="AB37" s="131"/>
      <c r="AC37" s="131"/>
      <c r="AD37" s="131">
        <f t="shared" si="25"/>
        <v>0</v>
      </c>
      <c r="AE37" s="131"/>
      <c r="AF37" s="131"/>
      <c r="AG37" s="130">
        <f t="shared" si="26"/>
        <v>0</v>
      </c>
      <c r="AH37" s="131"/>
      <c r="AI37" s="130">
        <f t="shared" si="27"/>
        <v>0</v>
      </c>
      <c r="AJ37" s="130">
        <f t="shared" si="27"/>
        <v>0</v>
      </c>
      <c r="AK37" s="130"/>
      <c r="AL37" s="133" t="str">
        <f t="shared" si="2"/>
        <v/>
      </c>
      <c r="AM37" s="134"/>
      <c r="AN37" s="134"/>
      <c r="AO37" s="134"/>
      <c r="AP37" s="130">
        <f>AP36</f>
        <v>0</v>
      </c>
      <c r="AQ37" s="130">
        <f>AP37*1.12</f>
        <v>0</v>
      </c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441"/>
      <c r="BH37" s="135"/>
      <c r="BI37" s="135"/>
      <c r="BJ37" s="135"/>
      <c r="BK37" s="135"/>
      <c r="BL37" s="135"/>
      <c r="BM37" s="135"/>
      <c r="BN37" s="135"/>
      <c r="BQ37" s="27"/>
      <c r="BR37" s="28"/>
      <c r="BS37" s="31"/>
    </row>
    <row r="38" spans="1:71" hidden="1" outlineLevel="1" x14ac:dyDescent="0.35">
      <c r="A38" s="499"/>
      <c r="B38" s="470"/>
      <c r="C38" s="122" t="s">
        <v>72</v>
      </c>
      <c r="D38" s="122" t="s">
        <v>73</v>
      </c>
      <c r="E38" s="123"/>
      <c r="F38" s="124"/>
      <c r="G38" s="532"/>
      <c r="H38" s="471"/>
      <c r="I38" s="124"/>
      <c r="J38" s="124"/>
      <c r="K38" s="535"/>
      <c r="L38" s="436"/>
      <c r="M38" s="521"/>
      <c r="N38" s="125">
        <f>O38/1.12</f>
        <v>0</v>
      </c>
      <c r="O38" s="125"/>
      <c r="P38" s="125">
        <f t="shared" si="23"/>
        <v>0</v>
      </c>
      <c r="Q38" s="125">
        <f t="shared" si="23"/>
        <v>0</v>
      </c>
      <c r="R38" s="524"/>
      <c r="S38" s="471"/>
      <c r="T38" s="124"/>
      <c r="U38" s="124"/>
      <c r="V38" s="124"/>
      <c r="W38" s="124"/>
      <c r="X38" s="124"/>
      <c r="Y38" s="124"/>
      <c r="Z38" s="124">
        <f t="shared" si="24"/>
        <v>0</v>
      </c>
      <c r="AA38" s="124">
        <f t="shared" si="24"/>
        <v>0</v>
      </c>
      <c r="AB38" s="124"/>
      <c r="AC38" s="124"/>
      <c r="AD38" s="124">
        <f t="shared" si="25"/>
        <v>0</v>
      </c>
      <c r="AE38" s="124"/>
      <c r="AF38" s="124"/>
      <c r="AG38" s="123">
        <f t="shared" si="26"/>
        <v>0</v>
      </c>
      <c r="AH38" s="124"/>
      <c r="AI38" s="123">
        <f t="shared" si="27"/>
        <v>0</v>
      </c>
      <c r="AJ38" s="123">
        <f t="shared" si="27"/>
        <v>0</v>
      </c>
      <c r="AK38" s="123"/>
      <c r="AL38" s="126" t="str">
        <f t="shared" si="2"/>
        <v/>
      </c>
      <c r="AM38" s="127"/>
      <c r="AN38" s="127"/>
      <c r="AO38" s="127"/>
      <c r="AP38" s="123"/>
      <c r="AQ38" s="123">
        <f>AP38</f>
        <v>0</v>
      </c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440"/>
      <c r="BH38" s="128"/>
      <c r="BI38" s="128"/>
      <c r="BJ38" s="128"/>
      <c r="BK38" s="128"/>
      <c r="BL38" s="128"/>
      <c r="BM38" s="128"/>
      <c r="BN38" s="128"/>
      <c r="BO38" s="103"/>
      <c r="BP38" s="103"/>
      <c r="BQ38" s="29"/>
      <c r="BR38" s="107"/>
      <c r="BS38" s="31"/>
    </row>
    <row r="39" spans="1:71" hidden="1" outlineLevel="1" x14ac:dyDescent="0.35">
      <c r="A39" s="499"/>
      <c r="B39" s="470"/>
      <c r="C39" s="122" t="s">
        <v>74</v>
      </c>
      <c r="D39" s="122" t="s">
        <v>75</v>
      </c>
      <c r="E39" s="123"/>
      <c r="F39" s="124"/>
      <c r="G39" s="533"/>
      <c r="H39" s="472"/>
      <c r="I39" s="124"/>
      <c r="J39" s="124"/>
      <c r="K39" s="536"/>
      <c r="L39" s="470"/>
      <c r="M39" s="522"/>
      <c r="N39" s="125">
        <f>N38</f>
        <v>0</v>
      </c>
      <c r="O39" s="125">
        <f>O38</f>
        <v>0</v>
      </c>
      <c r="P39" s="125">
        <f t="shared" si="23"/>
        <v>0</v>
      </c>
      <c r="Q39" s="125">
        <f t="shared" si="23"/>
        <v>0</v>
      </c>
      <c r="R39" s="525"/>
      <c r="S39" s="472"/>
      <c r="T39" s="124"/>
      <c r="U39" s="124"/>
      <c r="V39" s="124"/>
      <c r="W39" s="124"/>
      <c r="X39" s="124"/>
      <c r="Y39" s="124"/>
      <c r="Z39" s="124">
        <f t="shared" si="24"/>
        <v>0</v>
      </c>
      <c r="AA39" s="124">
        <f t="shared" si="24"/>
        <v>0</v>
      </c>
      <c r="AB39" s="124"/>
      <c r="AC39" s="124"/>
      <c r="AD39" s="124">
        <f t="shared" si="25"/>
        <v>0</v>
      </c>
      <c r="AE39" s="124"/>
      <c r="AF39" s="124"/>
      <c r="AG39" s="123">
        <f t="shared" si="26"/>
        <v>0</v>
      </c>
      <c r="AH39" s="124"/>
      <c r="AI39" s="123">
        <f t="shared" si="27"/>
        <v>0</v>
      </c>
      <c r="AJ39" s="123">
        <f t="shared" si="27"/>
        <v>0</v>
      </c>
      <c r="AK39" s="123"/>
      <c r="AL39" s="126" t="str">
        <f t="shared" si="2"/>
        <v/>
      </c>
      <c r="AM39" s="127"/>
      <c r="AN39" s="127"/>
      <c r="AO39" s="127"/>
      <c r="AP39" s="123">
        <f>AP38</f>
        <v>0</v>
      </c>
      <c r="AQ39" s="123">
        <f>AP39*1.12</f>
        <v>0</v>
      </c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527"/>
      <c r="BH39" s="128"/>
      <c r="BI39" s="128"/>
      <c r="BJ39" s="128"/>
      <c r="BK39" s="128"/>
      <c r="BL39" s="128"/>
      <c r="BM39" s="128"/>
      <c r="BN39" s="128"/>
      <c r="BO39" s="103"/>
      <c r="BP39" s="103"/>
      <c r="BQ39" s="29"/>
      <c r="BR39" s="107"/>
      <c r="BS39" s="31"/>
    </row>
    <row r="40" spans="1:71" ht="20.5" hidden="1" customHeight="1" outlineLevel="1" x14ac:dyDescent="0.35">
      <c r="A40" s="439"/>
      <c r="B40" s="437"/>
      <c r="C40" s="129" t="s">
        <v>74</v>
      </c>
      <c r="D40" s="129" t="s">
        <v>76</v>
      </c>
      <c r="E40" s="130"/>
      <c r="F40" s="131"/>
      <c r="G40" s="534"/>
      <c r="H40" s="473"/>
      <c r="I40" s="131"/>
      <c r="J40" s="131"/>
      <c r="K40" s="537"/>
      <c r="L40" s="437"/>
      <c r="M40" s="523"/>
      <c r="N40" s="132">
        <f>N39</f>
        <v>0</v>
      </c>
      <c r="O40" s="132">
        <f>O39</f>
        <v>0</v>
      </c>
      <c r="P40" s="132">
        <f t="shared" si="23"/>
        <v>0</v>
      </c>
      <c r="Q40" s="132">
        <f t="shared" si="23"/>
        <v>0</v>
      </c>
      <c r="R40" s="526"/>
      <c r="S40" s="473"/>
      <c r="T40" s="131"/>
      <c r="U40" s="131"/>
      <c r="V40" s="131"/>
      <c r="W40" s="131"/>
      <c r="X40" s="131"/>
      <c r="Y40" s="131"/>
      <c r="Z40" s="131">
        <f t="shared" si="24"/>
        <v>0</v>
      </c>
      <c r="AA40" s="131">
        <f t="shared" si="24"/>
        <v>0</v>
      </c>
      <c r="AB40" s="131"/>
      <c r="AC40" s="131"/>
      <c r="AD40" s="131">
        <f t="shared" si="25"/>
        <v>0</v>
      </c>
      <c r="AE40" s="131"/>
      <c r="AF40" s="131"/>
      <c r="AG40" s="130">
        <f t="shared" si="26"/>
        <v>0</v>
      </c>
      <c r="AH40" s="131"/>
      <c r="AI40" s="130">
        <f t="shared" si="27"/>
        <v>0</v>
      </c>
      <c r="AJ40" s="130">
        <f t="shared" si="27"/>
        <v>0</v>
      </c>
      <c r="AK40" s="130"/>
      <c r="AL40" s="133" t="str">
        <f t="shared" si="2"/>
        <v/>
      </c>
      <c r="AM40" s="134"/>
      <c r="AN40" s="134"/>
      <c r="AO40" s="134"/>
      <c r="AP40" s="130">
        <f>AP39</f>
        <v>0</v>
      </c>
      <c r="AQ40" s="130">
        <f>AP40*1.12</f>
        <v>0</v>
      </c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441"/>
      <c r="BH40" s="135"/>
      <c r="BI40" s="135"/>
      <c r="BJ40" s="135"/>
      <c r="BK40" s="135"/>
      <c r="BL40" s="135"/>
      <c r="BM40" s="135"/>
      <c r="BN40" s="135"/>
      <c r="BQ40" s="27"/>
      <c r="BR40" s="28"/>
      <c r="BS40" s="31"/>
    </row>
    <row r="41" spans="1:71" s="103" customFormat="1" ht="40" customHeight="1" collapsed="1" x14ac:dyDescent="0.35">
      <c r="A41" s="438">
        <v>2</v>
      </c>
      <c r="B41" s="467" t="s">
        <v>85</v>
      </c>
      <c r="C41" s="122" t="s">
        <v>72</v>
      </c>
      <c r="D41" s="122" t="s">
        <v>73</v>
      </c>
      <c r="E41" s="123">
        <f t="shared" ref="E41:E104" si="28">I41</f>
        <v>126796.34200000003</v>
      </c>
      <c r="F41" s="124">
        <f t="shared" ref="F41:F104" si="29">E41*1.12</f>
        <v>142011.90304000006</v>
      </c>
      <c r="G41" s="532">
        <v>2020</v>
      </c>
      <c r="H41" s="471"/>
      <c r="I41" s="124">
        <f>I44+I47+I50+I53+I56+I59+I62+I65+I68+I71+I74+I77+I80+I83+I86+I89+I92+I95+I98+I101+I104</f>
        <v>126796.34200000003</v>
      </c>
      <c r="J41" s="124">
        <f t="shared" ref="J41:J100" si="30">I41*1.12</f>
        <v>142011.90304000006</v>
      </c>
      <c r="K41" s="559"/>
      <c r="L41" s="454"/>
      <c r="M41" s="585"/>
      <c r="N41" s="125">
        <f>O41/1.12</f>
        <v>126148460.00000003</v>
      </c>
      <c r="O41" s="125">
        <f>O44+O47+O50+O53+O56+O59+O62+O65+O68+O71+O74+O77+O80+O83+O86+O89+O92+O95+O98+O101+O104</f>
        <v>141286275.20000005</v>
      </c>
      <c r="P41" s="125">
        <f t="shared" si="23"/>
        <v>126148460.00000003</v>
      </c>
      <c r="Q41" s="125">
        <f t="shared" si="23"/>
        <v>141286275.20000005</v>
      </c>
      <c r="R41" s="143"/>
      <c r="S41" s="471">
        <f>S44+S47+S50+S53+S56+S59+S62+S65+S68+S71+S74+S77+S80+S83+S86+S89+S92+S95+S98+S101+S104</f>
        <v>373</v>
      </c>
      <c r="T41" s="124"/>
      <c r="U41" s="124"/>
      <c r="V41" s="124"/>
      <c r="W41" s="124"/>
      <c r="X41" s="124"/>
      <c r="Y41" s="124"/>
      <c r="Z41" s="124">
        <f t="shared" si="24"/>
        <v>0</v>
      </c>
      <c r="AA41" s="124">
        <f t="shared" si="24"/>
        <v>0</v>
      </c>
      <c r="AB41" s="124"/>
      <c r="AC41" s="124">
        <f>AC44+AC47+AC50+AC53+AC56+AC59+AC62+AC65+AC68+AC71+AC74+AC77+AC80+AC83+AC86+AC89+AC92+AC95+AC98+AC101+AC104</f>
        <v>126796.34200000003</v>
      </c>
      <c r="AD41" s="123">
        <f t="shared" si="25"/>
        <v>142011.90304000006</v>
      </c>
      <c r="AE41" s="124"/>
      <c r="AF41" s="124">
        <f t="shared" ref="AF41:AG43" si="31">AF44+AF47+AF50+AF53+AF56+AF59+AF62+AF65+AF68+AF71+AF74+AF77+AF80+AF83+AF86+AF89+AF92+AF95+AF98+AF101+AF104</f>
        <v>125087.63499999999</v>
      </c>
      <c r="AG41" s="124">
        <f t="shared" si="31"/>
        <v>140098.15120000002</v>
      </c>
      <c r="AH41" s="124"/>
      <c r="AI41" s="124">
        <f t="shared" ref="AI41:AI43" si="32">AI44+AI47+AI50+AI53+AI56+AI59+AI62+AI65+AI68+AI71+AI74+AI77+AI80+AI83+AI86+AI89+AI92+AI95+AI98+AI101+AI104</f>
        <v>-1708.7070000000042</v>
      </c>
      <c r="AJ41" s="123">
        <f>AI41*1.12</f>
        <v>-1913.7518400000049</v>
      </c>
      <c r="AK41" s="124"/>
      <c r="AL41" s="126">
        <f>IF(AC41=0,"",AF41/AC41)</f>
        <v>0.98652400398112405</v>
      </c>
      <c r="AM41" s="127"/>
      <c r="AN41" s="124">
        <f>AN44+AN47+AN50+AN53+AN56+AN59+AN62+AN65+AN68+AN71+AN74+AN77+AN80+AN83+AN86+AN89+AN92+AN95+AN98+AN101+AN104</f>
        <v>125087.63499999999</v>
      </c>
      <c r="AO41" s="127"/>
      <c r="AP41" s="124">
        <f>AP44+AP47+AP50+AP53+AP56+AP59+AP62+AP65+AP68+AP71+AP74+AP77+AP80+AP83+AP86+AP89+AP92+AP95+AP98+AP101+AP104</f>
        <v>125087.57</v>
      </c>
      <c r="AQ41" s="123">
        <f>AP41*1.12</f>
        <v>140098.07840000003</v>
      </c>
      <c r="AR41" s="123"/>
      <c r="AS41" s="123"/>
      <c r="AT41" s="91">
        <f>AT44+AT47+AT50+AT53+AT56+AT59+AT62+AT65+AT68+AT71+AT74+AT77+AT80+AT83+AT86+AT89+AT92+AT95+AT98+AT101+AT104</f>
        <v>-791.03500000000417</v>
      </c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601" t="s">
        <v>84</v>
      </c>
      <c r="BH41" s="128"/>
      <c r="BI41" s="128"/>
      <c r="BJ41" s="128"/>
      <c r="BK41" s="128"/>
      <c r="BL41" s="128"/>
      <c r="BM41" s="128"/>
      <c r="BN41" s="128"/>
      <c r="BQ41" s="29"/>
      <c r="BR41" s="107"/>
      <c r="BS41" s="106"/>
    </row>
    <row r="42" spans="1:71" s="103" customFormat="1" ht="18.75" customHeight="1" outlineLevel="1" x14ac:dyDescent="0.35">
      <c r="A42" s="499"/>
      <c r="B42" s="468"/>
      <c r="C42" s="122" t="s">
        <v>74</v>
      </c>
      <c r="D42" s="122" t="s">
        <v>75</v>
      </c>
      <c r="E42" s="123">
        <f t="shared" si="28"/>
        <v>126796.34200000003</v>
      </c>
      <c r="F42" s="124">
        <f t="shared" si="29"/>
        <v>142011.90304000006</v>
      </c>
      <c r="G42" s="533"/>
      <c r="H42" s="472"/>
      <c r="I42" s="124">
        <f>I41</f>
        <v>126796.34200000003</v>
      </c>
      <c r="J42" s="124">
        <f t="shared" si="30"/>
        <v>142011.90304000006</v>
      </c>
      <c r="K42" s="560"/>
      <c r="L42" s="454"/>
      <c r="M42" s="585"/>
      <c r="N42" s="125">
        <f>N41</f>
        <v>126148460.00000003</v>
      </c>
      <c r="O42" s="125">
        <f>O41</f>
        <v>141286275.20000005</v>
      </c>
      <c r="P42" s="125">
        <f t="shared" ref="P42:Q118" si="33">N42</f>
        <v>126148460.00000003</v>
      </c>
      <c r="Q42" s="125">
        <f t="shared" si="33"/>
        <v>141286275.20000005</v>
      </c>
      <c r="R42" s="144"/>
      <c r="S42" s="472"/>
      <c r="T42" s="124"/>
      <c r="U42" s="124"/>
      <c r="V42" s="124"/>
      <c r="W42" s="124"/>
      <c r="X42" s="124"/>
      <c r="Y42" s="124"/>
      <c r="Z42" s="124">
        <f t="shared" ref="Z42:AA93" si="34">T42+W42</f>
        <v>0</v>
      </c>
      <c r="AA42" s="124">
        <f t="shared" si="34"/>
        <v>0</v>
      </c>
      <c r="AB42" s="124"/>
      <c r="AC42" s="124">
        <f>AC45+AC48+AC51+AC54+AC57+AC60+AC63+AC66+AC69+AC72+AC75+AC78+AC81+AC84+AC87+AC90+AC93+AC96+AC99+AC102+AC105</f>
        <v>126796.34200000003</v>
      </c>
      <c r="AD42" s="123">
        <f t="shared" si="25"/>
        <v>142011.90304000006</v>
      </c>
      <c r="AE42" s="124"/>
      <c r="AF42" s="124">
        <f t="shared" si="31"/>
        <v>125087.57</v>
      </c>
      <c r="AG42" s="124">
        <f t="shared" si="31"/>
        <v>140098.07840000006</v>
      </c>
      <c r="AH42" s="124"/>
      <c r="AI42" s="124">
        <f t="shared" si="32"/>
        <v>-1708.7720000000002</v>
      </c>
      <c r="AJ42" s="123">
        <f>AI42*1.12</f>
        <v>-1913.8246400000003</v>
      </c>
      <c r="AK42" s="123"/>
      <c r="AL42" s="126">
        <f t="shared" si="2"/>
        <v>0.98652349134803885</v>
      </c>
      <c r="AM42" s="127"/>
      <c r="AN42" s="124">
        <f>AN45+AN48+AN51+AN54+AN57+AN60+AN63+AN66+AN69+AN72+AN75+AN78+AN81+AN84+AN87+AN90+AN93+AN96+AN99+AN102+AN105</f>
        <v>125087.63499999999</v>
      </c>
      <c r="AO42" s="127">
        <f>AO43</f>
        <v>0</v>
      </c>
      <c r="AP42" s="124">
        <f>AP45+AP48+AP51+AP54+AP57+AP60+AP63+AP66+AP69+AP72+AP75+AP78+AP81+AP84+AP87+AP90+AP93+AP96+AP99+AP102+AP105</f>
        <v>125087.57</v>
      </c>
      <c r="AQ42" s="123">
        <f>AP42*1.12</f>
        <v>140098.07840000003</v>
      </c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602"/>
      <c r="BH42" s="128"/>
      <c r="BI42" s="128"/>
      <c r="BJ42" s="128"/>
      <c r="BK42" s="128"/>
      <c r="BL42" s="128"/>
      <c r="BM42" s="128"/>
      <c r="BN42" s="128"/>
      <c r="BQ42" s="29"/>
      <c r="BR42" s="107"/>
      <c r="BS42" s="106"/>
    </row>
    <row r="43" spans="1:71" ht="18.75" customHeight="1" outlineLevel="1" x14ac:dyDescent="0.35">
      <c r="A43" s="499"/>
      <c r="B43" s="468"/>
      <c r="C43" s="129" t="s">
        <v>74</v>
      </c>
      <c r="D43" s="129" t="s">
        <v>76</v>
      </c>
      <c r="E43" s="130">
        <f t="shared" si="28"/>
        <v>126796.34200000003</v>
      </c>
      <c r="F43" s="131">
        <f t="shared" si="29"/>
        <v>142011.90304000006</v>
      </c>
      <c r="G43" s="533"/>
      <c r="H43" s="473"/>
      <c r="I43" s="131">
        <f>I42</f>
        <v>126796.34200000003</v>
      </c>
      <c r="J43" s="131">
        <f t="shared" si="30"/>
        <v>142011.90304000006</v>
      </c>
      <c r="K43" s="561"/>
      <c r="L43" s="454"/>
      <c r="M43" s="585"/>
      <c r="N43" s="132">
        <f>N42</f>
        <v>126148460.00000003</v>
      </c>
      <c r="O43" s="132">
        <f>O42</f>
        <v>141286275.20000005</v>
      </c>
      <c r="P43" s="132">
        <f t="shared" si="33"/>
        <v>126148460.00000003</v>
      </c>
      <c r="Q43" s="132">
        <f t="shared" si="33"/>
        <v>141286275.20000005</v>
      </c>
      <c r="R43" s="144"/>
      <c r="S43" s="473"/>
      <c r="T43" s="131"/>
      <c r="U43" s="131"/>
      <c r="V43" s="131"/>
      <c r="W43" s="131"/>
      <c r="X43" s="131"/>
      <c r="Y43" s="131"/>
      <c r="Z43" s="131">
        <f t="shared" si="34"/>
        <v>0</v>
      </c>
      <c r="AA43" s="131">
        <f t="shared" si="34"/>
        <v>0</v>
      </c>
      <c r="AB43" s="131"/>
      <c r="AC43" s="124">
        <f>AC46+AC49+AC52+AC55+AC58+AC61+AC64+AC67+AC70+AC73+AC76+AC79+AC82+AC85+AC88+AC91+AC94+AC97+AC100+AC103+AC106</f>
        <v>126796.34200000003</v>
      </c>
      <c r="AD43" s="131">
        <f t="shared" si="25"/>
        <v>142011.90304000006</v>
      </c>
      <c r="AE43" s="131"/>
      <c r="AF43" s="124">
        <f t="shared" si="31"/>
        <v>125087.57</v>
      </c>
      <c r="AG43" s="124">
        <f t="shared" si="31"/>
        <v>140098.07840000006</v>
      </c>
      <c r="AH43" s="131"/>
      <c r="AI43" s="124">
        <f t="shared" si="32"/>
        <v>-1708.7720000000002</v>
      </c>
      <c r="AJ43" s="130">
        <f t="shared" ref="AI43:AJ74" si="35">AG43-AD43</f>
        <v>-1913.8246400000062</v>
      </c>
      <c r="AK43" s="130"/>
      <c r="AL43" s="133">
        <f t="shared" si="2"/>
        <v>0.98652349134803885</v>
      </c>
      <c r="AM43" s="134"/>
      <c r="AN43" s="124">
        <f>AN46+AN49+AN52+AN55+AN58+AN61+AN64+AN67+AN70+AN73+AN76+AN79+AN82+AN85+AN88+AN91+AN94+AN97+AN100+AN103+AN106</f>
        <v>125087.57</v>
      </c>
      <c r="AO43" s="134"/>
      <c r="AP43" s="124">
        <f>AP46+AP49+AP52+AP55+AP58+AP61+AP64+AP67+AP70+AP73+AP76+AP79+AP82+AP85+AP88+AP91+AP94+AP97+AP100+AP103+AP106</f>
        <v>125087.57</v>
      </c>
      <c r="AQ43" s="131">
        <f>AP43*1.12</f>
        <v>140098.07840000003</v>
      </c>
      <c r="AR43" s="130"/>
      <c r="AS43" s="130"/>
      <c r="AT43" s="145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603"/>
      <c r="BH43" s="135"/>
      <c r="BI43" s="135"/>
      <c r="BJ43" s="135"/>
      <c r="BK43" s="135"/>
      <c r="BL43" s="135"/>
      <c r="BM43" s="135"/>
      <c r="BN43" s="135"/>
      <c r="BQ43" s="27"/>
      <c r="BR43" s="28"/>
      <c r="BS43" s="31"/>
    </row>
    <row r="44" spans="1:71" s="156" customFormat="1" ht="18.75" customHeight="1" outlineLevel="1" collapsed="1" x14ac:dyDescent="0.35">
      <c r="A44" s="499"/>
      <c r="B44" s="468"/>
      <c r="C44" s="146" t="s">
        <v>72</v>
      </c>
      <c r="D44" s="146" t="s">
        <v>73</v>
      </c>
      <c r="E44" s="147">
        <f t="shared" si="28"/>
        <v>83178.38</v>
      </c>
      <c r="F44" s="148">
        <f t="shared" si="29"/>
        <v>93159.785600000017</v>
      </c>
      <c r="G44" s="533"/>
      <c r="H44" s="582">
        <v>244</v>
      </c>
      <c r="I44" s="148">
        <v>83178.38</v>
      </c>
      <c r="J44" s="148">
        <f t="shared" si="30"/>
        <v>93159.785600000017</v>
      </c>
      <c r="K44" s="604" t="s">
        <v>86</v>
      </c>
      <c r="L44" s="544" t="s">
        <v>87</v>
      </c>
      <c r="M44" s="149"/>
      <c r="N44" s="150">
        <f>O44/1.12</f>
        <v>83178380</v>
      </c>
      <c r="O44" s="150">
        <v>93159785.600000009</v>
      </c>
      <c r="P44" s="150">
        <f t="shared" si="33"/>
        <v>83178380</v>
      </c>
      <c r="Q44" s="150">
        <f t="shared" si="33"/>
        <v>93159785.600000009</v>
      </c>
      <c r="R44" s="607" t="s">
        <v>88</v>
      </c>
      <c r="S44" s="595">
        <v>244</v>
      </c>
      <c r="T44" s="148"/>
      <c r="U44" s="148"/>
      <c r="V44" s="148"/>
      <c r="W44" s="148"/>
      <c r="X44" s="148"/>
      <c r="Y44" s="148"/>
      <c r="Z44" s="124">
        <f t="shared" si="34"/>
        <v>0</v>
      </c>
      <c r="AA44" s="124">
        <f t="shared" si="34"/>
        <v>0</v>
      </c>
      <c r="AB44" s="148"/>
      <c r="AC44" s="148">
        <v>83178.38</v>
      </c>
      <c r="AD44" s="148">
        <f t="shared" si="25"/>
        <v>93159.785600000017</v>
      </c>
      <c r="AE44" s="148">
        <v>244</v>
      </c>
      <c r="AF44" s="151">
        <v>83178</v>
      </c>
      <c r="AG44" s="148">
        <f t="shared" ref="AG44:AG76" si="36">AF44*1.12</f>
        <v>93159.360000000015</v>
      </c>
      <c r="AH44" s="148">
        <v>244</v>
      </c>
      <c r="AI44" s="147">
        <f t="shared" si="35"/>
        <v>-0.38000000000465661</v>
      </c>
      <c r="AJ44" s="147">
        <f t="shared" si="35"/>
        <v>-0.42560000000230502</v>
      </c>
      <c r="AK44" s="147"/>
      <c r="AL44" s="152">
        <f t="shared" si="2"/>
        <v>0.99999543150515791</v>
      </c>
      <c r="AM44" s="153"/>
      <c r="AN44" s="127">
        <f>AF44</f>
        <v>83178</v>
      </c>
      <c r="AO44" s="153"/>
      <c r="AP44" s="147">
        <f>I44</f>
        <v>83178.38</v>
      </c>
      <c r="AQ44" s="147">
        <f>AP44</f>
        <v>83178.38</v>
      </c>
      <c r="AR44" s="147"/>
      <c r="AS44" s="147"/>
      <c r="AT44" s="154">
        <f>AF44-AC44</f>
        <v>-0.38000000000465661</v>
      </c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>
        <f>AF44-AC44</f>
        <v>-0.38000000000465661</v>
      </c>
      <c r="BG44" s="589"/>
      <c r="BH44" s="155"/>
      <c r="BI44" s="155"/>
      <c r="BJ44" s="155"/>
      <c r="BK44" s="155"/>
      <c r="BL44" s="155"/>
      <c r="BM44" s="155"/>
      <c r="BN44" s="155"/>
      <c r="BQ44" s="157"/>
      <c r="BR44" s="158"/>
      <c r="BS44" s="565" t="s">
        <v>89</v>
      </c>
    </row>
    <row r="45" spans="1:71" s="156" customFormat="1" ht="18.75" customHeight="1" outlineLevel="1" x14ac:dyDescent="0.35">
      <c r="A45" s="499"/>
      <c r="B45" s="468"/>
      <c r="C45" s="146" t="s">
        <v>74</v>
      </c>
      <c r="D45" s="146" t="s">
        <v>75</v>
      </c>
      <c r="E45" s="147">
        <f t="shared" si="28"/>
        <v>83178.38</v>
      </c>
      <c r="F45" s="148">
        <f t="shared" si="29"/>
        <v>93159.785600000017</v>
      </c>
      <c r="G45" s="533"/>
      <c r="H45" s="583"/>
      <c r="I45" s="148">
        <v>83178.38</v>
      </c>
      <c r="J45" s="148">
        <f t="shared" si="30"/>
        <v>93159.785600000017</v>
      </c>
      <c r="K45" s="605"/>
      <c r="L45" s="545"/>
      <c r="M45" s="149"/>
      <c r="N45" s="150">
        <f>N44</f>
        <v>83178380</v>
      </c>
      <c r="O45" s="150">
        <f>O44</f>
        <v>93159785.600000009</v>
      </c>
      <c r="P45" s="150">
        <f t="shared" si="33"/>
        <v>83178380</v>
      </c>
      <c r="Q45" s="150">
        <f t="shared" si="33"/>
        <v>93159785.600000009</v>
      </c>
      <c r="R45" s="607"/>
      <c r="S45" s="596"/>
      <c r="T45" s="148"/>
      <c r="U45" s="148"/>
      <c r="V45" s="148"/>
      <c r="W45" s="148"/>
      <c r="X45" s="148"/>
      <c r="Y45" s="148"/>
      <c r="Z45" s="124">
        <f t="shared" si="34"/>
        <v>0</v>
      </c>
      <c r="AA45" s="124">
        <f t="shared" si="34"/>
        <v>0</v>
      </c>
      <c r="AB45" s="148"/>
      <c r="AC45" s="148">
        <v>83178.38</v>
      </c>
      <c r="AD45" s="148">
        <f t="shared" si="25"/>
        <v>93159.785600000017</v>
      </c>
      <c r="AE45" s="148"/>
      <c r="AF45" s="151">
        <v>83178.38</v>
      </c>
      <c r="AG45" s="148">
        <f t="shared" si="36"/>
        <v>93159.785600000017</v>
      </c>
      <c r="AH45" s="148"/>
      <c r="AI45" s="147">
        <f t="shared" si="35"/>
        <v>0</v>
      </c>
      <c r="AJ45" s="147">
        <f t="shared" si="35"/>
        <v>0</v>
      </c>
      <c r="AK45" s="147"/>
      <c r="AL45" s="152">
        <f t="shared" si="2"/>
        <v>1</v>
      </c>
      <c r="AM45" s="153"/>
      <c r="AN45" s="134">
        <f>AN44</f>
        <v>83178</v>
      </c>
      <c r="AO45" s="153"/>
      <c r="AP45" s="147">
        <f>I45</f>
        <v>83178.38</v>
      </c>
      <c r="AQ45" s="147">
        <f>AP45*1.12</f>
        <v>93159.785600000017</v>
      </c>
      <c r="AR45" s="147"/>
      <c r="AS45" s="147"/>
      <c r="AT45" s="159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590"/>
      <c r="BH45" s="155"/>
      <c r="BI45" s="155"/>
      <c r="BJ45" s="155"/>
      <c r="BK45" s="155"/>
      <c r="BL45" s="155"/>
      <c r="BM45" s="155"/>
      <c r="BN45" s="155"/>
      <c r="BQ45" s="157"/>
      <c r="BR45" s="158"/>
      <c r="BS45" s="566"/>
    </row>
    <row r="46" spans="1:71" s="169" customFormat="1" ht="18.75" customHeight="1" outlineLevel="1" x14ac:dyDescent="0.35">
      <c r="A46" s="499"/>
      <c r="B46" s="468"/>
      <c r="C46" s="160" t="s">
        <v>74</v>
      </c>
      <c r="D46" s="160" t="s">
        <v>76</v>
      </c>
      <c r="E46" s="161">
        <f t="shared" si="28"/>
        <v>83178.38</v>
      </c>
      <c r="F46" s="162">
        <f t="shared" si="29"/>
        <v>93159.785600000017</v>
      </c>
      <c r="G46" s="533"/>
      <c r="H46" s="584"/>
      <c r="I46" s="162">
        <f>I45</f>
        <v>83178.38</v>
      </c>
      <c r="J46" s="162">
        <f t="shared" si="30"/>
        <v>93159.785600000017</v>
      </c>
      <c r="K46" s="606"/>
      <c r="L46" s="546"/>
      <c r="M46" s="149"/>
      <c r="N46" s="163">
        <f>N45</f>
        <v>83178380</v>
      </c>
      <c r="O46" s="163">
        <f>O45</f>
        <v>93159785.600000009</v>
      </c>
      <c r="P46" s="163">
        <f t="shared" si="33"/>
        <v>83178380</v>
      </c>
      <c r="Q46" s="163">
        <f t="shared" si="33"/>
        <v>93159785.600000009</v>
      </c>
      <c r="R46" s="607"/>
      <c r="S46" s="597"/>
      <c r="T46" s="162"/>
      <c r="U46" s="162"/>
      <c r="V46" s="162"/>
      <c r="W46" s="162"/>
      <c r="X46" s="162"/>
      <c r="Y46" s="162"/>
      <c r="Z46" s="131">
        <f t="shared" si="34"/>
        <v>0</v>
      </c>
      <c r="AA46" s="131">
        <f t="shared" si="34"/>
        <v>0</v>
      </c>
      <c r="AB46" s="162"/>
      <c r="AC46" s="162">
        <f>AC45</f>
        <v>83178.38</v>
      </c>
      <c r="AD46" s="162">
        <f t="shared" si="25"/>
        <v>93159.785600000017</v>
      </c>
      <c r="AE46" s="162"/>
      <c r="AF46" s="164">
        <f>AF45</f>
        <v>83178.38</v>
      </c>
      <c r="AG46" s="162">
        <f t="shared" si="36"/>
        <v>93159.785600000017</v>
      </c>
      <c r="AH46" s="162"/>
      <c r="AI46" s="161">
        <f t="shared" si="35"/>
        <v>0</v>
      </c>
      <c r="AJ46" s="161">
        <f t="shared" si="35"/>
        <v>0</v>
      </c>
      <c r="AK46" s="161"/>
      <c r="AL46" s="165">
        <f t="shared" si="2"/>
        <v>1</v>
      </c>
      <c r="AM46" s="166"/>
      <c r="AN46" s="166">
        <f>AF46</f>
        <v>83178.38</v>
      </c>
      <c r="AO46" s="166"/>
      <c r="AP46" s="161">
        <f>AP45</f>
        <v>83178.38</v>
      </c>
      <c r="AQ46" s="161">
        <f>AP46*1.12</f>
        <v>93159.785600000017</v>
      </c>
      <c r="AR46" s="161"/>
      <c r="AS46" s="161"/>
      <c r="AT46" s="167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591"/>
      <c r="BH46" s="168"/>
      <c r="BI46" s="168"/>
      <c r="BJ46" s="168"/>
      <c r="BK46" s="168"/>
      <c r="BL46" s="168"/>
      <c r="BM46" s="168"/>
      <c r="BN46" s="168"/>
      <c r="BQ46" s="170"/>
      <c r="BR46" s="171"/>
      <c r="BS46" s="567"/>
    </row>
    <row r="47" spans="1:71" s="169" customFormat="1" ht="12.75" customHeight="1" outlineLevel="1" x14ac:dyDescent="0.35">
      <c r="A47" s="499"/>
      <c r="B47" s="468"/>
      <c r="C47" s="146" t="s">
        <v>72</v>
      </c>
      <c r="D47" s="146" t="s">
        <v>73</v>
      </c>
      <c r="E47" s="147">
        <f t="shared" si="28"/>
        <v>4431.6350000000002</v>
      </c>
      <c r="F47" s="148">
        <f t="shared" si="29"/>
        <v>4963.4312000000009</v>
      </c>
      <c r="G47" s="533"/>
      <c r="H47" s="582">
        <v>13</v>
      </c>
      <c r="I47" s="151">
        <v>4431.6350000000002</v>
      </c>
      <c r="J47" s="148">
        <f t="shared" si="30"/>
        <v>4963.4312000000009</v>
      </c>
      <c r="K47" s="568" t="s">
        <v>86</v>
      </c>
      <c r="L47" s="592" t="s">
        <v>90</v>
      </c>
      <c r="M47" s="168"/>
      <c r="N47" s="172">
        <f>O47/1.12</f>
        <v>4431635</v>
      </c>
      <c r="O47" s="172">
        <v>4963431.2</v>
      </c>
      <c r="P47" s="172">
        <f t="shared" si="33"/>
        <v>4431635</v>
      </c>
      <c r="Q47" s="172">
        <f t="shared" si="33"/>
        <v>4963431.2</v>
      </c>
      <c r="R47" s="593" t="s">
        <v>88</v>
      </c>
      <c r="S47" s="595">
        <v>13</v>
      </c>
      <c r="T47" s="151"/>
      <c r="U47" s="151"/>
      <c r="V47" s="151"/>
      <c r="W47" s="151"/>
      <c r="X47" s="151"/>
      <c r="Y47" s="151"/>
      <c r="Z47" s="173">
        <f t="shared" si="34"/>
        <v>0</v>
      </c>
      <c r="AA47" s="173">
        <f t="shared" si="34"/>
        <v>0</v>
      </c>
      <c r="AB47" s="151"/>
      <c r="AC47" s="151">
        <v>4431.6350000000002</v>
      </c>
      <c r="AD47" s="148">
        <f t="shared" si="25"/>
        <v>4963.4312000000009</v>
      </c>
      <c r="AE47" s="151">
        <v>13</v>
      </c>
      <c r="AF47" s="151">
        <v>4432</v>
      </c>
      <c r="AG47" s="148">
        <f t="shared" si="36"/>
        <v>4963.84</v>
      </c>
      <c r="AH47" s="151">
        <v>13</v>
      </c>
      <c r="AI47" s="159">
        <f t="shared" si="35"/>
        <v>0.36499999999978172</v>
      </c>
      <c r="AJ47" s="159">
        <f t="shared" si="35"/>
        <v>0.40879999999924621</v>
      </c>
      <c r="AK47" s="159"/>
      <c r="AL47" s="174">
        <f t="shared" si="2"/>
        <v>1.0000823623786705</v>
      </c>
      <c r="AM47" s="175"/>
      <c r="AN47" s="127">
        <f>AF47</f>
        <v>4432</v>
      </c>
      <c r="AO47" s="175"/>
      <c r="AP47" s="147">
        <f>I47</f>
        <v>4431.6350000000002</v>
      </c>
      <c r="AQ47" s="147">
        <f>AP47</f>
        <v>4431.6350000000002</v>
      </c>
      <c r="AR47" s="159"/>
      <c r="AS47" s="159"/>
      <c r="AT47" s="154">
        <f>AF47-AC47</f>
        <v>0.36499999999978172</v>
      </c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598"/>
      <c r="BH47" s="176"/>
      <c r="BI47" s="176"/>
      <c r="BJ47" s="176"/>
      <c r="BK47" s="176"/>
      <c r="BL47" s="176"/>
      <c r="BM47" s="176"/>
      <c r="BN47" s="176"/>
      <c r="BQ47" s="170"/>
      <c r="BR47" s="171"/>
      <c r="BS47" s="565" t="s">
        <v>91</v>
      </c>
    </row>
    <row r="48" spans="1:71" s="169" customFormat="1" ht="12.75" customHeight="1" outlineLevel="1" x14ac:dyDescent="0.35">
      <c r="A48" s="499"/>
      <c r="B48" s="468"/>
      <c r="C48" s="146" t="s">
        <v>74</v>
      </c>
      <c r="D48" s="146" t="s">
        <v>75</v>
      </c>
      <c r="E48" s="147">
        <f t="shared" si="28"/>
        <v>4431.6350000000002</v>
      </c>
      <c r="F48" s="148">
        <f t="shared" si="29"/>
        <v>4963.4312000000009</v>
      </c>
      <c r="G48" s="533"/>
      <c r="H48" s="583"/>
      <c r="I48" s="151">
        <v>4431.6350000000002</v>
      </c>
      <c r="J48" s="148">
        <f t="shared" si="30"/>
        <v>4963.4312000000009</v>
      </c>
      <c r="K48" s="568"/>
      <c r="L48" s="592"/>
      <c r="M48" s="168"/>
      <c r="N48" s="172">
        <f>N47</f>
        <v>4431635</v>
      </c>
      <c r="O48" s="172">
        <f>O47</f>
        <v>4963431.2</v>
      </c>
      <c r="P48" s="172">
        <f t="shared" si="33"/>
        <v>4431635</v>
      </c>
      <c r="Q48" s="172">
        <f t="shared" si="33"/>
        <v>4963431.2</v>
      </c>
      <c r="R48" s="594"/>
      <c r="S48" s="596"/>
      <c r="T48" s="151"/>
      <c r="U48" s="151"/>
      <c r="V48" s="151"/>
      <c r="W48" s="151"/>
      <c r="X48" s="151"/>
      <c r="Y48" s="151"/>
      <c r="Z48" s="173">
        <f t="shared" si="34"/>
        <v>0</v>
      </c>
      <c r="AA48" s="173">
        <f t="shared" si="34"/>
        <v>0</v>
      </c>
      <c r="AB48" s="151"/>
      <c r="AC48" s="151">
        <v>4431.6350000000002</v>
      </c>
      <c r="AD48" s="148">
        <f t="shared" si="25"/>
        <v>4963.4312000000009</v>
      </c>
      <c r="AE48" s="151"/>
      <c r="AF48" s="151">
        <v>4431.6350000000002</v>
      </c>
      <c r="AG48" s="148">
        <f t="shared" si="36"/>
        <v>4963.4312000000009</v>
      </c>
      <c r="AH48" s="151"/>
      <c r="AI48" s="159">
        <f t="shared" si="35"/>
        <v>0</v>
      </c>
      <c r="AJ48" s="159">
        <f t="shared" si="35"/>
        <v>0</v>
      </c>
      <c r="AK48" s="159"/>
      <c r="AL48" s="174">
        <f t="shared" si="2"/>
        <v>1</v>
      </c>
      <c r="AM48" s="175"/>
      <c r="AN48" s="134">
        <f>AN47</f>
        <v>4432</v>
      </c>
      <c r="AO48" s="175"/>
      <c r="AP48" s="147">
        <f>I48</f>
        <v>4431.6350000000002</v>
      </c>
      <c r="AQ48" s="147">
        <f>AP48*1.12</f>
        <v>4963.4312000000009</v>
      </c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599"/>
      <c r="BH48" s="176"/>
      <c r="BI48" s="176"/>
      <c r="BJ48" s="176"/>
      <c r="BK48" s="176"/>
      <c r="BL48" s="176"/>
      <c r="BM48" s="176"/>
      <c r="BN48" s="176"/>
      <c r="BQ48" s="170"/>
      <c r="BR48" s="171"/>
      <c r="BS48" s="566"/>
    </row>
    <row r="49" spans="1:71" s="169" customFormat="1" ht="12.75" customHeight="1" outlineLevel="1" x14ac:dyDescent="0.35">
      <c r="A49" s="499"/>
      <c r="B49" s="468"/>
      <c r="C49" s="160" t="s">
        <v>74</v>
      </c>
      <c r="D49" s="160" t="s">
        <v>76</v>
      </c>
      <c r="E49" s="161">
        <f t="shared" si="28"/>
        <v>4431.6350000000002</v>
      </c>
      <c r="F49" s="162">
        <f t="shared" si="29"/>
        <v>4963.4312000000009</v>
      </c>
      <c r="G49" s="533"/>
      <c r="H49" s="584"/>
      <c r="I49" s="162">
        <f>I48</f>
        <v>4431.6350000000002</v>
      </c>
      <c r="J49" s="162">
        <f t="shared" si="30"/>
        <v>4963.4312000000009</v>
      </c>
      <c r="K49" s="568"/>
      <c r="L49" s="592"/>
      <c r="M49" s="168"/>
      <c r="N49" s="177">
        <f>N48</f>
        <v>4431635</v>
      </c>
      <c r="O49" s="177">
        <f>O48</f>
        <v>4963431.2</v>
      </c>
      <c r="P49" s="177">
        <f t="shared" si="33"/>
        <v>4431635</v>
      </c>
      <c r="Q49" s="177">
        <f t="shared" si="33"/>
        <v>4963431.2</v>
      </c>
      <c r="R49" s="594"/>
      <c r="S49" s="597"/>
      <c r="T49" s="164"/>
      <c r="U49" s="164"/>
      <c r="V49" s="164"/>
      <c r="W49" s="164"/>
      <c r="X49" s="164"/>
      <c r="Y49" s="164"/>
      <c r="Z49" s="178">
        <f t="shared" si="34"/>
        <v>0</v>
      </c>
      <c r="AA49" s="178">
        <f t="shared" si="34"/>
        <v>0</v>
      </c>
      <c r="AB49" s="164"/>
      <c r="AC49" s="162">
        <f>AC48</f>
        <v>4431.6350000000002</v>
      </c>
      <c r="AD49" s="162">
        <f t="shared" si="25"/>
        <v>4963.4312000000009</v>
      </c>
      <c r="AE49" s="164"/>
      <c r="AF49" s="164">
        <f>AF48</f>
        <v>4431.6350000000002</v>
      </c>
      <c r="AG49" s="162">
        <f t="shared" si="36"/>
        <v>4963.4312000000009</v>
      </c>
      <c r="AH49" s="164"/>
      <c r="AI49" s="167">
        <f t="shared" si="35"/>
        <v>0</v>
      </c>
      <c r="AJ49" s="167">
        <f t="shared" si="35"/>
        <v>0</v>
      </c>
      <c r="AK49" s="167"/>
      <c r="AL49" s="179">
        <f t="shared" si="2"/>
        <v>1</v>
      </c>
      <c r="AM49" s="180"/>
      <c r="AN49" s="166">
        <f>AF49</f>
        <v>4431.6350000000002</v>
      </c>
      <c r="AO49" s="180"/>
      <c r="AP49" s="161">
        <f>AP48</f>
        <v>4431.6350000000002</v>
      </c>
      <c r="AQ49" s="161">
        <f>AP49*1.12</f>
        <v>4963.4312000000009</v>
      </c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600"/>
      <c r="BH49" s="149"/>
      <c r="BI49" s="149"/>
      <c r="BJ49" s="149"/>
      <c r="BK49" s="149"/>
      <c r="BL49" s="149"/>
      <c r="BM49" s="149"/>
      <c r="BN49" s="149"/>
      <c r="BQ49" s="170"/>
      <c r="BR49" s="171"/>
      <c r="BS49" s="567"/>
    </row>
    <row r="50" spans="1:71" s="169" customFormat="1" ht="12.75" customHeight="1" outlineLevel="1" x14ac:dyDescent="0.35">
      <c r="A50" s="499"/>
      <c r="B50" s="468"/>
      <c r="C50" s="146" t="s">
        <v>72</v>
      </c>
      <c r="D50" s="146" t="s">
        <v>73</v>
      </c>
      <c r="E50" s="147">
        <f t="shared" si="28"/>
        <v>3408.95</v>
      </c>
      <c r="F50" s="148">
        <f t="shared" si="29"/>
        <v>3818.0240000000003</v>
      </c>
      <c r="G50" s="533"/>
      <c r="H50" s="582">
        <v>10</v>
      </c>
      <c r="I50" s="148">
        <v>3408.95</v>
      </c>
      <c r="J50" s="148">
        <f t="shared" si="30"/>
        <v>3818.0240000000003</v>
      </c>
      <c r="K50" s="568"/>
      <c r="L50" s="592"/>
      <c r="M50" s="168"/>
      <c r="N50" s="172">
        <f>O50/1.12</f>
        <v>3408950</v>
      </c>
      <c r="O50" s="172">
        <v>3818024.0000000005</v>
      </c>
      <c r="P50" s="172">
        <f t="shared" si="33"/>
        <v>3408950</v>
      </c>
      <c r="Q50" s="172">
        <f t="shared" si="33"/>
        <v>3818024.0000000005</v>
      </c>
      <c r="R50" s="594"/>
      <c r="S50" s="575">
        <v>10</v>
      </c>
      <c r="T50" s="148"/>
      <c r="U50" s="148"/>
      <c r="V50" s="148"/>
      <c r="W50" s="148"/>
      <c r="X50" s="148"/>
      <c r="Y50" s="148"/>
      <c r="Z50" s="124">
        <f t="shared" si="34"/>
        <v>0</v>
      </c>
      <c r="AA50" s="124">
        <f t="shared" si="34"/>
        <v>0</v>
      </c>
      <c r="AB50" s="148"/>
      <c r="AC50" s="148">
        <v>3408.95</v>
      </c>
      <c r="AD50" s="148">
        <f t="shared" si="25"/>
        <v>3818.0240000000003</v>
      </c>
      <c r="AE50" s="148">
        <v>10</v>
      </c>
      <c r="AF50" s="151">
        <v>3409</v>
      </c>
      <c r="AG50" s="148">
        <f t="shared" si="36"/>
        <v>3818.0800000000004</v>
      </c>
      <c r="AH50" s="148">
        <v>10</v>
      </c>
      <c r="AI50" s="147">
        <f t="shared" si="35"/>
        <v>5.0000000000181899E-2</v>
      </c>
      <c r="AJ50" s="147">
        <f t="shared" si="35"/>
        <v>5.6000000000040018E-2</v>
      </c>
      <c r="AK50" s="147"/>
      <c r="AL50" s="152">
        <f t="shared" si="2"/>
        <v>1.000014667272914</v>
      </c>
      <c r="AM50" s="153"/>
      <c r="AN50" s="127">
        <f>AF50</f>
        <v>3409</v>
      </c>
      <c r="AO50" s="153"/>
      <c r="AP50" s="147">
        <f>I50</f>
        <v>3408.95</v>
      </c>
      <c r="AQ50" s="147">
        <f>AP50</f>
        <v>3408.95</v>
      </c>
      <c r="AR50" s="147"/>
      <c r="AS50" s="147"/>
      <c r="AT50" s="154">
        <f>AF50-AC50</f>
        <v>5.0000000000181899E-2</v>
      </c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589"/>
      <c r="BH50" s="155"/>
      <c r="BI50" s="155"/>
      <c r="BJ50" s="155"/>
      <c r="BK50" s="155"/>
      <c r="BL50" s="155"/>
      <c r="BM50" s="155"/>
      <c r="BN50" s="155"/>
      <c r="BQ50" s="170"/>
      <c r="BR50" s="171"/>
      <c r="BS50" s="565" t="s">
        <v>92</v>
      </c>
    </row>
    <row r="51" spans="1:71" s="169" customFormat="1" ht="12.75" customHeight="1" outlineLevel="1" x14ac:dyDescent="0.35">
      <c r="A51" s="499"/>
      <c r="B51" s="468"/>
      <c r="C51" s="146" t="s">
        <v>74</v>
      </c>
      <c r="D51" s="146" t="s">
        <v>75</v>
      </c>
      <c r="E51" s="147">
        <f t="shared" si="28"/>
        <v>3408.95</v>
      </c>
      <c r="F51" s="148">
        <f t="shared" si="29"/>
        <v>3818.0240000000003</v>
      </c>
      <c r="G51" s="533"/>
      <c r="H51" s="583"/>
      <c r="I51" s="148">
        <v>3408.95</v>
      </c>
      <c r="J51" s="148">
        <f t="shared" si="30"/>
        <v>3818.0240000000003</v>
      </c>
      <c r="K51" s="568"/>
      <c r="L51" s="592"/>
      <c r="M51" s="168"/>
      <c r="N51" s="172">
        <f>N50</f>
        <v>3408950</v>
      </c>
      <c r="O51" s="172">
        <f>O50</f>
        <v>3818024.0000000005</v>
      </c>
      <c r="P51" s="172">
        <f t="shared" si="33"/>
        <v>3408950</v>
      </c>
      <c r="Q51" s="172">
        <f t="shared" si="33"/>
        <v>3818024.0000000005</v>
      </c>
      <c r="R51" s="594"/>
      <c r="S51" s="576"/>
      <c r="T51" s="148"/>
      <c r="U51" s="148"/>
      <c r="V51" s="148"/>
      <c r="W51" s="148"/>
      <c r="X51" s="148"/>
      <c r="Y51" s="148"/>
      <c r="Z51" s="124">
        <f t="shared" si="34"/>
        <v>0</v>
      </c>
      <c r="AA51" s="124">
        <f t="shared" si="34"/>
        <v>0</v>
      </c>
      <c r="AB51" s="148"/>
      <c r="AC51" s="148">
        <v>3408.95</v>
      </c>
      <c r="AD51" s="148">
        <f t="shared" si="25"/>
        <v>3818.0240000000003</v>
      </c>
      <c r="AE51" s="148"/>
      <c r="AF51" s="151">
        <v>3408.95</v>
      </c>
      <c r="AG51" s="148">
        <f t="shared" si="36"/>
        <v>3818.0240000000003</v>
      </c>
      <c r="AH51" s="148"/>
      <c r="AI51" s="147">
        <f t="shared" si="35"/>
        <v>0</v>
      </c>
      <c r="AJ51" s="147">
        <f t="shared" si="35"/>
        <v>0</v>
      </c>
      <c r="AK51" s="147"/>
      <c r="AL51" s="152">
        <f t="shared" si="2"/>
        <v>1</v>
      </c>
      <c r="AM51" s="153"/>
      <c r="AN51" s="134">
        <f>AN50</f>
        <v>3409</v>
      </c>
      <c r="AO51" s="153"/>
      <c r="AP51" s="147">
        <f>I51</f>
        <v>3408.95</v>
      </c>
      <c r="AQ51" s="147">
        <f>AP51*1.12</f>
        <v>3818.0240000000003</v>
      </c>
      <c r="AR51" s="147"/>
      <c r="AS51" s="147"/>
      <c r="AT51" s="159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590"/>
      <c r="BH51" s="155"/>
      <c r="BI51" s="155"/>
      <c r="BJ51" s="155"/>
      <c r="BK51" s="155"/>
      <c r="BL51" s="155"/>
      <c r="BM51" s="155"/>
      <c r="BN51" s="155"/>
      <c r="BQ51" s="170"/>
      <c r="BR51" s="171"/>
      <c r="BS51" s="566"/>
    </row>
    <row r="52" spans="1:71" s="169" customFormat="1" ht="12.75" customHeight="1" outlineLevel="1" x14ac:dyDescent="0.35">
      <c r="A52" s="499"/>
      <c r="B52" s="468"/>
      <c r="C52" s="160" t="s">
        <v>74</v>
      </c>
      <c r="D52" s="160" t="s">
        <v>76</v>
      </c>
      <c r="E52" s="161">
        <f t="shared" si="28"/>
        <v>3408.95</v>
      </c>
      <c r="F52" s="162">
        <f t="shared" si="29"/>
        <v>3818.0240000000003</v>
      </c>
      <c r="G52" s="533"/>
      <c r="H52" s="584"/>
      <c r="I52" s="162">
        <f>I51</f>
        <v>3408.95</v>
      </c>
      <c r="J52" s="162">
        <f t="shared" si="30"/>
        <v>3818.0240000000003</v>
      </c>
      <c r="K52" s="568"/>
      <c r="L52" s="592"/>
      <c r="M52" s="168"/>
      <c r="N52" s="177">
        <f>N51</f>
        <v>3408950</v>
      </c>
      <c r="O52" s="177">
        <f>O51</f>
        <v>3818024.0000000005</v>
      </c>
      <c r="P52" s="177">
        <f t="shared" si="33"/>
        <v>3408950</v>
      </c>
      <c r="Q52" s="177">
        <f t="shared" si="33"/>
        <v>3818024.0000000005</v>
      </c>
      <c r="R52" s="594"/>
      <c r="S52" s="577"/>
      <c r="T52" s="162"/>
      <c r="U52" s="162"/>
      <c r="V52" s="162"/>
      <c r="W52" s="162"/>
      <c r="X52" s="162"/>
      <c r="Y52" s="162"/>
      <c r="Z52" s="131">
        <f t="shared" si="34"/>
        <v>0</v>
      </c>
      <c r="AA52" s="131">
        <f t="shared" si="34"/>
        <v>0</v>
      </c>
      <c r="AB52" s="162"/>
      <c r="AC52" s="162">
        <f>AC51</f>
        <v>3408.95</v>
      </c>
      <c r="AD52" s="162">
        <f t="shared" si="25"/>
        <v>3818.0240000000003</v>
      </c>
      <c r="AE52" s="162"/>
      <c r="AF52" s="164">
        <f>AF51</f>
        <v>3408.95</v>
      </c>
      <c r="AG52" s="162">
        <f t="shared" si="36"/>
        <v>3818.0240000000003</v>
      </c>
      <c r="AH52" s="162"/>
      <c r="AI52" s="161">
        <f t="shared" si="35"/>
        <v>0</v>
      </c>
      <c r="AJ52" s="161">
        <f t="shared" si="35"/>
        <v>0</v>
      </c>
      <c r="AK52" s="161"/>
      <c r="AL52" s="165">
        <f t="shared" si="2"/>
        <v>1</v>
      </c>
      <c r="AM52" s="166"/>
      <c r="AN52" s="166">
        <f>AF52</f>
        <v>3408.95</v>
      </c>
      <c r="AO52" s="166"/>
      <c r="AP52" s="161">
        <f>AP51</f>
        <v>3408.95</v>
      </c>
      <c r="AQ52" s="161">
        <f>AP52*1.12</f>
        <v>3818.0240000000003</v>
      </c>
      <c r="AR52" s="161"/>
      <c r="AS52" s="161"/>
      <c r="AT52" s="167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591"/>
      <c r="BH52" s="168"/>
      <c r="BI52" s="168"/>
      <c r="BJ52" s="168"/>
      <c r="BK52" s="168"/>
      <c r="BL52" s="168"/>
      <c r="BM52" s="168"/>
      <c r="BN52" s="168"/>
      <c r="BQ52" s="170"/>
      <c r="BR52" s="171"/>
      <c r="BS52" s="567"/>
    </row>
    <row r="53" spans="1:71" s="169" customFormat="1" ht="12.75" customHeight="1" outlineLevel="1" x14ac:dyDescent="0.35">
      <c r="A53" s="499"/>
      <c r="B53" s="468"/>
      <c r="C53" s="146" t="s">
        <v>72</v>
      </c>
      <c r="D53" s="146" t="s">
        <v>73</v>
      </c>
      <c r="E53" s="147">
        <f t="shared" si="28"/>
        <v>4431.6350000000002</v>
      </c>
      <c r="F53" s="148">
        <f t="shared" si="29"/>
        <v>4963.4312000000009</v>
      </c>
      <c r="G53" s="533"/>
      <c r="H53" s="582">
        <v>13</v>
      </c>
      <c r="I53" s="148">
        <v>4431.6350000000002</v>
      </c>
      <c r="J53" s="148">
        <f t="shared" si="30"/>
        <v>4963.4312000000009</v>
      </c>
      <c r="K53" s="568"/>
      <c r="L53" s="592"/>
      <c r="M53" s="168"/>
      <c r="N53" s="172">
        <f>O53/1.12</f>
        <v>4431635</v>
      </c>
      <c r="O53" s="172">
        <v>4963431.2</v>
      </c>
      <c r="P53" s="172">
        <f t="shared" si="33"/>
        <v>4431635</v>
      </c>
      <c r="Q53" s="172">
        <f t="shared" si="33"/>
        <v>4963431.2</v>
      </c>
      <c r="R53" s="594"/>
      <c r="S53" s="575">
        <v>13</v>
      </c>
      <c r="T53" s="148"/>
      <c r="U53" s="148"/>
      <c r="V53" s="148"/>
      <c r="W53" s="148"/>
      <c r="X53" s="148"/>
      <c r="Y53" s="148"/>
      <c r="Z53" s="124">
        <f t="shared" si="34"/>
        <v>0</v>
      </c>
      <c r="AA53" s="124">
        <f t="shared" si="34"/>
        <v>0</v>
      </c>
      <c r="AB53" s="148"/>
      <c r="AC53" s="148">
        <v>4431.6350000000002</v>
      </c>
      <c r="AD53" s="148">
        <f t="shared" si="25"/>
        <v>4963.4312000000009</v>
      </c>
      <c r="AE53" s="148">
        <v>13</v>
      </c>
      <c r="AF53" s="151">
        <f>4431</f>
        <v>4431</v>
      </c>
      <c r="AG53" s="148">
        <f t="shared" si="36"/>
        <v>4962.72</v>
      </c>
      <c r="AH53" s="148">
        <v>13</v>
      </c>
      <c r="AI53" s="147">
        <f t="shared" si="35"/>
        <v>-0.63500000000021828</v>
      </c>
      <c r="AJ53" s="147">
        <f t="shared" si="35"/>
        <v>-0.71120000000064465</v>
      </c>
      <c r="AK53" s="147"/>
      <c r="AL53" s="152">
        <f t="shared" si="2"/>
        <v>0.99985671202614834</v>
      </c>
      <c r="AM53" s="153"/>
      <c r="AN53" s="127">
        <f>AF53</f>
        <v>4431</v>
      </c>
      <c r="AO53" s="153"/>
      <c r="AP53" s="147">
        <f>I53</f>
        <v>4431.6350000000002</v>
      </c>
      <c r="AQ53" s="147">
        <f>AP53</f>
        <v>4431.6350000000002</v>
      </c>
      <c r="AR53" s="147"/>
      <c r="AS53" s="147"/>
      <c r="AT53" s="154">
        <f>AF53-AC53</f>
        <v>-0.63500000000021828</v>
      </c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589"/>
      <c r="BH53" s="155"/>
      <c r="BI53" s="155"/>
      <c r="BJ53" s="155"/>
      <c r="BK53" s="155"/>
      <c r="BL53" s="155"/>
      <c r="BM53" s="155"/>
      <c r="BN53" s="155"/>
      <c r="BQ53" s="170"/>
      <c r="BR53" s="171"/>
      <c r="BS53" s="565" t="s">
        <v>93</v>
      </c>
    </row>
    <row r="54" spans="1:71" s="169" customFormat="1" ht="12.75" customHeight="1" outlineLevel="1" x14ac:dyDescent="0.35">
      <c r="A54" s="499"/>
      <c r="B54" s="468"/>
      <c r="C54" s="146" t="s">
        <v>74</v>
      </c>
      <c r="D54" s="146" t="s">
        <v>75</v>
      </c>
      <c r="E54" s="147">
        <f t="shared" si="28"/>
        <v>4431.6350000000002</v>
      </c>
      <c r="F54" s="148">
        <f t="shared" si="29"/>
        <v>4963.4312000000009</v>
      </c>
      <c r="G54" s="533"/>
      <c r="H54" s="583"/>
      <c r="I54" s="148">
        <v>4431.6350000000002</v>
      </c>
      <c r="J54" s="148">
        <f t="shared" si="30"/>
        <v>4963.4312000000009</v>
      </c>
      <c r="K54" s="568"/>
      <c r="L54" s="592"/>
      <c r="M54" s="168"/>
      <c r="N54" s="172">
        <f>N53</f>
        <v>4431635</v>
      </c>
      <c r="O54" s="172">
        <f>O53</f>
        <v>4963431.2</v>
      </c>
      <c r="P54" s="172">
        <f t="shared" si="33"/>
        <v>4431635</v>
      </c>
      <c r="Q54" s="172">
        <f t="shared" si="33"/>
        <v>4963431.2</v>
      </c>
      <c r="R54" s="594"/>
      <c r="S54" s="576"/>
      <c r="T54" s="148"/>
      <c r="U54" s="148"/>
      <c r="V54" s="148"/>
      <c r="W54" s="148"/>
      <c r="X54" s="148"/>
      <c r="Y54" s="148"/>
      <c r="Z54" s="124">
        <f t="shared" si="34"/>
        <v>0</v>
      </c>
      <c r="AA54" s="124">
        <f t="shared" si="34"/>
        <v>0</v>
      </c>
      <c r="AB54" s="148"/>
      <c r="AC54" s="148">
        <v>4431.6350000000002</v>
      </c>
      <c r="AD54" s="148">
        <f t="shared" si="25"/>
        <v>4963.4312000000009</v>
      </c>
      <c r="AE54" s="148"/>
      <c r="AF54" s="151">
        <v>4431.6350000000002</v>
      </c>
      <c r="AG54" s="148">
        <f t="shared" si="36"/>
        <v>4963.4312000000009</v>
      </c>
      <c r="AH54" s="148"/>
      <c r="AI54" s="147">
        <f t="shared" si="35"/>
        <v>0</v>
      </c>
      <c r="AJ54" s="147">
        <f t="shared" si="35"/>
        <v>0</v>
      </c>
      <c r="AK54" s="147"/>
      <c r="AL54" s="152">
        <f t="shared" si="2"/>
        <v>1</v>
      </c>
      <c r="AM54" s="153"/>
      <c r="AN54" s="134">
        <f>AN53</f>
        <v>4431</v>
      </c>
      <c r="AO54" s="153"/>
      <c r="AP54" s="147">
        <f>I54</f>
        <v>4431.6350000000002</v>
      </c>
      <c r="AQ54" s="147">
        <f>AP54*1.12</f>
        <v>4963.4312000000009</v>
      </c>
      <c r="AR54" s="147"/>
      <c r="AS54" s="147"/>
      <c r="AT54" s="159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590"/>
      <c r="BH54" s="155"/>
      <c r="BI54" s="155"/>
      <c r="BJ54" s="155"/>
      <c r="BK54" s="155"/>
      <c r="BL54" s="155"/>
      <c r="BM54" s="155"/>
      <c r="BN54" s="155"/>
      <c r="BQ54" s="170"/>
      <c r="BR54" s="171"/>
      <c r="BS54" s="566"/>
    </row>
    <row r="55" spans="1:71" s="169" customFormat="1" ht="12.75" customHeight="1" outlineLevel="1" x14ac:dyDescent="0.35">
      <c r="A55" s="499"/>
      <c r="B55" s="468"/>
      <c r="C55" s="160" t="s">
        <v>74</v>
      </c>
      <c r="D55" s="160" t="s">
        <v>76</v>
      </c>
      <c r="E55" s="161">
        <f t="shared" si="28"/>
        <v>4431.6350000000002</v>
      </c>
      <c r="F55" s="162">
        <f t="shared" si="29"/>
        <v>4963.4312000000009</v>
      </c>
      <c r="G55" s="533"/>
      <c r="H55" s="584"/>
      <c r="I55" s="162">
        <f>I54</f>
        <v>4431.6350000000002</v>
      </c>
      <c r="J55" s="162">
        <f t="shared" si="30"/>
        <v>4963.4312000000009</v>
      </c>
      <c r="K55" s="568"/>
      <c r="L55" s="592"/>
      <c r="M55" s="168"/>
      <c r="N55" s="177">
        <f>N54</f>
        <v>4431635</v>
      </c>
      <c r="O55" s="177">
        <f>O54</f>
        <v>4963431.2</v>
      </c>
      <c r="P55" s="177">
        <f t="shared" si="33"/>
        <v>4431635</v>
      </c>
      <c r="Q55" s="177">
        <f t="shared" si="33"/>
        <v>4963431.2</v>
      </c>
      <c r="R55" s="594"/>
      <c r="S55" s="577"/>
      <c r="T55" s="162"/>
      <c r="U55" s="162"/>
      <c r="V55" s="162"/>
      <c r="W55" s="162"/>
      <c r="X55" s="162"/>
      <c r="Y55" s="162"/>
      <c r="Z55" s="131">
        <f t="shared" si="34"/>
        <v>0</v>
      </c>
      <c r="AA55" s="131">
        <f t="shared" si="34"/>
        <v>0</v>
      </c>
      <c r="AB55" s="162"/>
      <c r="AC55" s="162">
        <f>AC54</f>
        <v>4431.6350000000002</v>
      </c>
      <c r="AD55" s="162">
        <f t="shared" si="25"/>
        <v>4963.4312000000009</v>
      </c>
      <c r="AE55" s="162"/>
      <c r="AF55" s="164">
        <f>AF54</f>
        <v>4431.6350000000002</v>
      </c>
      <c r="AG55" s="162">
        <f t="shared" si="36"/>
        <v>4963.4312000000009</v>
      </c>
      <c r="AH55" s="162"/>
      <c r="AI55" s="161">
        <f t="shared" si="35"/>
        <v>0</v>
      </c>
      <c r="AJ55" s="161">
        <f t="shared" si="35"/>
        <v>0</v>
      </c>
      <c r="AK55" s="161"/>
      <c r="AL55" s="165">
        <f t="shared" si="2"/>
        <v>1</v>
      </c>
      <c r="AM55" s="166"/>
      <c r="AN55" s="166">
        <f>AF55</f>
        <v>4431.6350000000002</v>
      </c>
      <c r="AO55" s="166"/>
      <c r="AP55" s="161">
        <f>AP54</f>
        <v>4431.6350000000002</v>
      </c>
      <c r="AQ55" s="161">
        <f>AP55*1.12</f>
        <v>4963.4312000000009</v>
      </c>
      <c r="AR55" s="161"/>
      <c r="AS55" s="161"/>
      <c r="AT55" s="167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591"/>
      <c r="BH55" s="168"/>
      <c r="BI55" s="168"/>
      <c r="BJ55" s="168"/>
      <c r="BK55" s="168"/>
      <c r="BL55" s="168"/>
      <c r="BM55" s="168"/>
      <c r="BN55" s="168"/>
      <c r="BQ55" s="170"/>
      <c r="BR55" s="171"/>
      <c r="BS55" s="567"/>
    </row>
    <row r="56" spans="1:71" ht="18" customHeight="1" outlineLevel="1" x14ac:dyDescent="0.35">
      <c r="A56" s="499"/>
      <c r="B56" s="468"/>
      <c r="C56" s="122" t="s">
        <v>72</v>
      </c>
      <c r="D56" s="122" t="s">
        <v>73</v>
      </c>
      <c r="E56" s="147">
        <f t="shared" si="28"/>
        <v>4431.6350000000002</v>
      </c>
      <c r="F56" s="148">
        <f t="shared" si="29"/>
        <v>4963.4312000000009</v>
      </c>
      <c r="G56" s="533"/>
      <c r="H56" s="582">
        <v>13</v>
      </c>
      <c r="I56" s="148">
        <v>4431.6350000000002</v>
      </c>
      <c r="J56" s="148">
        <f t="shared" si="30"/>
        <v>4963.4312000000009</v>
      </c>
      <c r="K56" s="568"/>
      <c r="L56" s="592"/>
      <c r="M56" s="585"/>
      <c r="N56" s="172">
        <f>O56/1.12</f>
        <v>4431635</v>
      </c>
      <c r="O56" s="172">
        <v>4963431.2</v>
      </c>
      <c r="P56" s="172">
        <f t="shared" si="33"/>
        <v>4431635</v>
      </c>
      <c r="Q56" s="172">
        <f t="shared" si="33"/>
        <v>4963431.2</v>
      </c>
      <c r="R56" s="594"/>
      <c r="S56" s="471">
        <v>13</v>
      </c>
      <c r="T56" s="124"/>
      <c r="U56" s="124"/>
      <c r="V56" s="124"/>
      <c r="W56" s="124"/>
      <c r="X56" s="124"/>
      <c r="Y56" s="124"/>
      <c r="Z56" s="124">
        <f t="shared" si="34"/>
        <v>0</v>
      </c>
      <c r="AA56" s="124">
        <f t="shared" si="34"/>
        <v>0</v>
      </c>
      <c r="AB56" s="124"/>
      <c r="AC56" s="148">
        <v>4431.6350000000002</v>
      </c>
      <c r="AD56" s="148">
        <f t="shared" si="25"/>
        <v>4963.4312000000009</v>
      </c>
      <c r="AE56" s="148">
        <v>13</v>
      </c>
      <c r="AF56" s="151">
        <v>4432</v>
      </c>
      <c r="AG56" s="148">
        <f t="shared" si="36"/>
        <v>4963.84</v>
      </c>
      <c r="AH56" s="148">
        <v>13</v>
      </c>
      <c r="AI56" s="123">
        <f t="shared" si="35"/>
        <v>0.36499999999978172</v>
      </c>
      <c r="AJ56" s="123">
        <f t="shared" si="35"/>
        <v>0.40879999999924621</v>
      </c>
      <c r="AK56" s="123"/>
      <c r="AL56" s="126">
        <f t="shared" si="2"/>
        <v>1.0000823623786705</v>
      </c>
      <c r="AM56" s="127"/>
      <c r="AN56" s="127">
        <f>AF56</f>
        <v>4432</v>
      </c>
      <c r="AO56" s="127"/>
      <c r="AP56" s="147">
        <f>I56</f>
        <v>4431.6350000000002</v>
      </c>
      <c r="AQ56" s="147">
        <f>AP56</f>
        <v>4431.6350000000002</v>
      </c>
      <c r="AR56" s="123"/>
      <c r="AS56" s="123"/>
      <c r="AT56" s="154">
        <f>AF56-AC56</f>
        <v>0.36499999999978172</v>
      </c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586"/>
      <c r="BH56" s="128"/>
      <c r="BI56" s="128"/>
      <c r="BJ56" s="128"/>
      <c r="BK56" s="128"/>
      <c r="BL56" s="128"/>
      <c r="BM56" s="128"/>
      <c r="BN56" s="128"/>
      <c r="BQ56" s="27"/>
      <c r="BR56" s="28"/>
      <c r="BS56" s="565" t="s">
        <v>94</v>
      </c>
    </row>
    <row r="57" spans="1:71" ht="18" customHeight="1" outlineLevel="1" x14ac:dyDescent="0.35">
      <c r="A57" s="499"/>
      <c r="B57" s="468"/>
      <c r="C57" s="122" t="s">
        <v>74</v>
      </c>
      <c r="D57" s="122" t="s">
        <v>75</v>
      </c>
      <c r="E57" s="147">
        <f t="shared" si="28"/>
        <v>4431.6350000000002</v>
      </c>
      <c r="F57" s="148">
        <f t="shared" si="29"/>
        <v>4963.4312000000009</v>
      </c>
      <c r="G57" s="533"/>
      <c r="H57" s="583"/>
      <c r="I57" s="148">
        <v>4431.6350000000002</v>
      </c>
      <c r="J57" s="148">
        <f t="shared" si="30"/>
        <v>4963.4312000000009</v>
      </c>
      <c r="K57" s="568"/>
      <c r="L57" s="592"/>
      <c r="M57" s="585"/>
      <c r="N57" s="172">
        <f>N56</f>
        <v>4431635</v>
      </c>
      <c r="O57" s="172">
        <f>O56</f>
        <v>4963431.2</v>
      </c>
      <c r="P57" s="172">
        <f t="shared" si="33"/>
        <v>4431635</v>
      </c>
      <c r="Q57" s="172">
        <f t="shared" si="33"/>
        <v>4963431.2</v>
      </c>
      <c r="R57" s="594"/>
      <c r="S57" s="472"/>
      <c r="T57" s="124"/>
      <c r="U57" s="124"/>
      <c r="V57" s="124"/>
      <c r="W57" s="124"/>
      <c r="X57" s="124"/>
      <c r="Y57" s="124"/>
      <c r="Z57" s="124">
        <f t="shared" si="34"/>
        <v>0</v>
      </c>
      <c r="AA57" s="124">
        <f t="shared" si="34"/>
        <v>0</v>
      </c>
      <c r="AB57" s="124"/>
      <c r="AC57" s="148">
        <v>4431.6350000000002</v>
      </c>
      <c r="AD57" s="148">
        <f t="shared" si="25"/>
        <v>4963.4312000000009</v>
      </c>
      <c r="AE57" s="148"/>
      <c r="AF57" s="151">
        <v>4431.6350000000002</v>
      </c>
      <c r="AG57" s="148">
        <f t="shared" si="36"/>
        <v>4963.4312000000009</v>
      </c>
      <c r="AH57" s="148"/>
      <c r="AI57" s="123">
        <f t="shared" si="35"/>
        <v>0</v>
      </c>
      <c r="AJ57" s="123">
        <f t="shared" si="35"/>
        <v>0</v>
      </c>
      <c r="AK57" s="123"/>
      <c r="AL57" s="126">
        <f t="shared" si="2"/>
        <v>1</v>
      </c>
      <c r="AM57" s="127"/>
      <c r="AN57" s="134">
        <f>AN56</f>
        <v>4432</v>
      </c>
      <c r="AO57" s="127"/>
      <c r="AP57" s="147">
        <f>I57</f>
        <v>4431.6350000000002</v>
      </c>
      <c r="AQ57" s="147">
        <f>AP57*1.12</f>
        <v>4963.4312000000009</v>
      </c>
      <c r="AR57" s="123"/>
      <c r="AS57" s="123"/>
      <c r="AT57" s="159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587"/>
      <c r="BH57" s="128"/>
      <c r="BI57" s="128"/>
      <c r="BJ57" s="128"/>
      <c r="BK57" s="128"/>
      <c r="BL57" s="128"/>
      <c r="BM57" s="128"/>
      <c r="BN57" s="128"/>
      <c r="BQ57" s="27"/>
      <c r="BR57" s="28"/>
      <c r="BS57" s="566"/>
    </row>
    <row r="58" spans="1:71" ht="18" customHeight="1" outlineLevel="1" x14ac:dyDescent="0.35">
      <c r="A58" s="499"/>
      <c r="B58" s="468"/>
      <c r="C58" s="129" t="s">
        <v>74</v>
      </c>
      <c r="D58" s="129" t="s">
        <v>76</v>
      </c>
      <c r="E58" s="161">
        <f t="shared" si="28"/>
        <v>4431.6350000000002</v>
      </c>
      <c r="F58" s="162">
        <f t="shared" si="29"/>
        <v>4963.4312000000009</v>
      </c>
      <c r="G58" s="533"/>
      <c r="H58" s="584"/>
      <c r="I58" s="162">
        <f>I57</f>
        <v>4431.6350000000002</v>
      </c>
      <c r="J58" s="162">
        <f t="shared" si="30"/>
        <v>4963.4312000000009</v>
      </c>
      <c r="K58" s="568"/>
      <c r="L58" s="592"/>
      <c r="M58" s="585"/>
      <c r="N58" s="177">
        <f>N57</f>
        <v>4431635</v>
      </c>
      <c r="O58" s="177">
        <f>O57</f>
        <v>4963431.2</v>
      </c>
      <c r="P58" s="177">
        <f t="shared" si="33"/>
        <v>4431635</v>
      </c>
      <c r="Q58" s="177">
        <f t="shared" si="33"/>
        <v>4963431.2</v>
      </c>
      <c r="R58" s="594"/>
      <c r="S58" s="473"/>
      <c r="T58" s="131"/>
      <c r="U58" s="131"/>
      <c r="V58" s="131"/>
      <c r="W58" s="131"/>
      <c r="X58" s="131"/>
      <c r="Y58" s="131"/>
      <c r="Z58" s="131">
        <f t="shared" si="34"/>
        <v>0</v>
      </c>
      <c r="AA58" s="131">
        <f t="shared" si="34"/>
        <v>0</v>
      </c>
      <c r="AB58" s="131"/>
      <c r="AC58" s="162">
        <f>AC57</f>
        <v>4431.6350000000002</v>
      </c>
      <c r="AD58" s="162">
        <f t="shared" si="25"/>
        <v>4963.4312000000009</v>
      </c>
      <c r="AE58" s="162"/>
      <c r="AF58" s="164">
        <f>AF57</f>
        <v>4431.6350000000002</v>
      </c>
      <c r="AG58" s="162">
        <f t="shared" si="36"/>
        <v>4963.4312000000009</v>
      </c>
      <c r="AH58" s="162"/>
      <c r="AI58" s="130">
        <f t="shared" si="35"/>
        <v>0</v>
      </c>
      <c r="AJ58" s="130">
        <f t="shared" si="35"/>
        <v>0</v>
      </c>
      <c r="AK58" s="130"/>
      <c r="AL58" s="133">
        <f t="shared" si="2"/>
        <v>1</v>
      </c>
      <c r="AM58" s="134"/>
      <c r="AN58" s="166">
        <f>AF58</f>
        <v>4431.6350000000002</v>
      </c>
      <c r="AO58" s="134"/>
      <c r="AP58" s="161">
        <f>AP57</f>
        <v>4431.6350000000002</v>
      </c>
      <c r="AQ58" s="161">
        <f>AP58*1.12</f>
        <v>4963.4312000000009</v>
      </c>
      <c r="AR58" s="130"/>
      <c r="AS58" s="130"/>
      <c r="AT58" s="167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588"/>
      <c r="BH58" s="135"/>
      <c r="BI58" s="135"/>
      <c r="BJ58" s="135"/>
      <c r="BK58" s="135"/>
      <c r="BL58" s="135"/>
      <c r="BM58" s="135"/>
      <c r="BN58" s="135"/>
      <c r="BQ58" s="27"/>
      <c r="BR58" s="28"/>
      <c r="BS58" s="567"/>
    </row>
    <row r="59" spans="1:71" s="156" customFormat="1" ht="12" customHeight="1" outlineLevel="1" x14ac:dyDescent="0.35">
      <c r="A59" s="499"/>
      <c r="B59" s="468"/>
      <c r="C59" s="146" t="s">
        <v>72</v>
      </c>
      <c r="D59" s="146" t="s">
        <v>73</v>
      </c>
      <c r="E59" s="147">
        <f t="shared" si="28"/>
        <v>4090.74</v>
      </c>
      <c r="F59" s="148">
        <f t="shared" si="29"/>
        <v>4581.6288000000004</v>
      </c>
      <c r="G59" s="533"/>
      <c r="H59" s="582">
        <v>12</v>
      </c>
      <c r="I59" s="148">
        <v>4090.74</v>
      </c>
      <c r="J59" s="148">
        <f t="shared" si="30"/>
        <v>4581.6288000000004</v>
      </c>
      <c r="K59" s="568"/>
      <c r="L59" s="592"/>
      <c r="M59" s="581"/>
      <c r="N59" s="172">
        <f>O59/1.12</f>
        <v>4090740.0000000005</v>
      </c>
      <c r="O59" s="172">
        <v>4581628.8000000007</v>
      </c>
      <c r="P59" s="172">
        <f t="shared" si="33"/>
        <v>4090740.0000000005</v>
      </c>
      <c r="Q59" s="172">
        <f t="shared" si="33"/>
        <v>4581628.8000000007</v>
      </c>
      <c r="R59" s="594"/>
      <c r="S59" s="575">
        <v>12</v>
      </c>
      <c r="T59" s="148"/>
      <c r="U59" s="148"/>
      <c r="V59" s="148"/>
      <c r="W59" s="148"/>
      <c r="X59" s="148"/>
      <c r="Y59" s="148"/>
      <c r="Z59" s="124">
        <f t="shared" si="34"/>
        <v>0</v>
      </c>
      <c r="AA59" s="124">
        <f t="shared" si="34"/>
        <v>0</v>
      </c>
      <c r="AB59" s="148"/>
      <c r="AC59" s="148">
        <v>4090.74</v>
      </c>
      <c r="AD59" s="148">
        <f t="shared" si="25"/>
        <v>4581.6288000000004</v>
      </c>
      <c r="AE59" s="148">
        <v>12</v>
      </c>
      <c r="AF59" s="151">
        <v>4091</v>
      </c>
      <c r="AG59" s="148">
        <f t="shared" si="36"/>
        <v>4581.92</v>
      </c>
      <c r="AH59" s="148">
        <v>12</v>
      </c>
      <c r="AI59" s="147">
        <f t="shared" si="35"/>
        <v>0.26000000000021828</v>
      </c>
      <c r="AJ59" s="147">
        <f t="shared" si="35"/>
        <v>0.2911999999996624</v>
      </c>
      <c r="AK59" s="147"/>
      <c r="AL59" s="152">
        <f t="shared" si="2"/>
        <v>1.0000635581826272</v>
      </c>
      <c r="AM59" s="153"/>
      <c r="AN59" s="127">
        <f>AF59</f>
        <v>4091</v>
      </c>
      <c r="AO59" s="153"/>
      <c r="AP59" s="147">
        <f>I59</f>
        <v>4090.74</v>
      </c>
      <c r="AQ59" s="147">
        <f>AP59</f>
        <v>4090.74</v>
      </c>
      <c r="AR59" s="147"/>
      <c r="AS59" s="147"/>
      <c r="AT59" s="154">
        <f>AF59-AC59</f>
        <v>0.26000000000021828</v>
      </c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589"/>
      <c r="BH59" s="155"/>
      <c r="BI59" s="155"/>
      <c r="BJ59" s="155"/>
      <c r="BK59" s="155"/>
      <c r="BL59" s="155"/>
      <c r="BM59" s="155"/>
      <c r="BN59" s="155"/>
      <c r="BQ59" s="157"/>
      <c r="BR59" s="158"/>
      <c r="BS59" s="565" t="s">
        <v>95</v>
      </c>
    </row>
    <row r="60" spans="1:71" s="156" customFormat="1" ht="12" customHeight="1" outlineLevel="1" x14ac:dyDescent="0.35">
      <c r="A60" s="499"/>
      <c r="B60" s="468"/>
      <c r="C60" s="146" t="s">
        <v>74</v>
      </c>
      <c r="D60" s="146" t="s">
        <v>75</v>
      </c>
      <c r="E60" s="147">
        <f t="shared" si="28"/>
        <v>4090.74</v>
      </c>
      <c r="F60" s="148">
        <f t="shared" si="29"/>
        <v>4581.6288000000004</v>
      </c>
      <c r="G60" s="533"/>
      <c r="H60" s="583"/>
      <c r="I60" s="148">
        <v>4090.74</v>
      </c>
      <c r="J60" s="148">
        <f t="shared" si="30"/>
        <v>4581.6288000000004</v>
      </c>
      <c r="K60" s="568"/>
      <c r="L60" s="592"/>
      <c r="M60" s="581"/>
      <c r="N60" s="172">
        <f>N59</f>
        <v>4090740.0000000005</v>
      </c>
      <c r="O60" s="172">
        <f>O59</f>
        <v>4581628.8000000007</v>
      </c>
      <c r="P60" s="172">
        <f t="shared" si="33"/>
        <v>4090740.0000000005</v>
      </c>
      <c r="Q60" s="172">
        <f t="shared" si="33"/>
        <v>4581628.8000000007</v>
      </c>
      <c r="R60" s="594"/>
      <c r="S60" s="576"/>
      <c r="T60" s="148"/>
      <c r="U60" s="148"/>
      <c r="V60" s="148"/>
      <c r="W60" s="148"/>
      <c r="X60" s="148"/>
      <c r="Y60" s="148"/>
      <c r="Z60" s="124">
        <f t="shared" si="34"/>
        <v>0</v>
      </c>
      <c r="AA60" s="124">
        <f t="shared" si="34"/>
        <v>0</v>
      </c>
      <c r="AB60" s="148"/>
      <c r="AC60" s="148">
        <v>4090.74</v>
      </c>
      <c r="AD60" s="148">
        <f t="shared" si="25"/>
        <v>4581.6288000000004</v>
      </c>
      <c r="AE60" s="148"/>
      <c r="AF60" s="151">
        <v>4090.74</v>
      </c>
      <c r="AG60" s="148">
        <f t="shared" si="36"/>
        <v>4581.6288000000004</v>
      </c>
      <c r="AH60" s="148"/>
      <c r="AI60" s="147">
        <f t="shared" si="35"/>
        <v>0</v>
      </c>
      <c r="AJ60" s="147">
        <f t="shared" si="35"/>
        <v>0</v>
      </c>
      <c r="AK60" s="147"/>
      <c r="AL60" s="152">
        <f t="shared" si="2"/>
        <v>1</v>
      </c>
      <c r="AM60" s="153"/>
      <c r="AN60" s="134">
        <f>AN59</f>
        <v>4091</v>
      </c>
      <c r="AO60" s="153"/>
      <c r="AP60" s="147">
        <f>I60</f>
        <v>4090.74</v>
      </c>
      <c r="AQ60" s="147">
        <f>AP60*1.12</f>
        <v>4581.6288000000004</v>
      </c>
      <c r="AR60" s="147"/>
      <c r="AS60" s="147"/>
      <c r="AT60" s="159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590"/>
      <c r="BH60" s="155"/>
      <c r="BI60" s="155"/>
      <c r="BJ60" s="155"/>
      <c r="BK60" s="155"/>
      <c r="BL60" s="155"/>
      <c r="BM60" s="155"/>
      <c r="BN60" s="155"/>
      <c r="BQ60" s="157"/>
      <c r="BR60" s="158"/>
      <c r="BS60" s="566"/>
    </row>
    <row r="61" spans="1:71" s="169" customFormat="1" ht="12" customHeight="1" outlineLevel="1" x14ac:dyDescent="0.35">
      <c r="A61" s="499"/>
      <c r="B61" s="468"/>
      <c r="C61" s="160" t="s">
        <v>74</v>
      </c>
      <c r="D61" s="160" t="s">
        <v>76</v>
      </c>
      <c r="E61" s="161">
        <f t="shared" si="28"/>
        <v>4090.74</v>
      </c>
      <c r="F61" s="162">
        <f t="shared" si="29"/>
        <v>4581.6288000000004</v>
      </c>
      <c r="G61" s="533"/>
      <c r="H61" s="584"/>
      <c r="I61" s="162">
        <f>I60</f>
        <v>4090.74</v>
      </c>
      <c r="J61" s="162">
        <f t="shared" si="30"/>
        <v>4581.6288000000004</v>
      </c>
      <c r="K61" s="568"/>
      <c r="L61" s="592"/>
      <c r="M61" s="581"/>
      <c r="N61" s="177">
        <f>N60</f>
        <v>4090740.0000000005</v>
      </c>
      <c r="O61" s="177">
        <f>O60</f>
        <v>4581628.8000000007</v>
      </c>
      <c r="P61" s="177">
        <f t="shared" si="33"/>
        <v>4090740.0000000005</v>
      </c>
      <c r="Q61" s="177">
        <f t="shared" si="33"/>
        <v>4581628.8000000007</v>
      </c>
      <c r="R61" s="594"/>
      <c r="S61" s="577"/>
      <c r="T61" s="162"/>
      <c r="U61" s="162"/>
      <c r="V61" s="162"/>
      <c r="W61" s="162"/>
      <c r="X61" s="162"/>
      <c r="Y61" s="162"/>
      <c r="Z61" s="131">
        <f t="shared" si="34"/>
        <v>0</v>
      </c>
      <c r="AA61" s="131">
        <f t="shared" si="34"/>
        <v>0</v>
      </c>
      <c r="AB61" s="162"/>
      <c r="AC61" s="162">
        <f>AC60</f>
        <v>4090.74</v>
      </c>
      <c r="AD61" s="162">
        <f t="shared" si="25"/>
        <v>4581.6288000000004</v>
      </c>
      <c r="AE61" s="162"/>
      <c r="AF61" s="164">
        <f>AF60</f>
        <v>4090.74</v>
      </c>
      <c r="AG61" s="162">
        <f t="shared" si="36"/>
        <v>4581.6288000000004</v>
      </c>
      <c r="AH61" s="162"/>
      <c r="AI61" s="161">
        <f t="shared" si="35"/>
        <v>0</v>
      </c>
      <c r="AJ61" s="161">
        <f t="shared" si="35"/>
        <v>0</v>
      </c>
      <c r="AK61" s="161"/>
      <c r="AL61" s="165">
        <f t="shared" si="2"/>
        <v>1</v>
      </c>
      <c r="AM61" s="166"/>
      <c r="AN61" s="166">
        <f>AF61</f>
        <v>4090.74</v>
      </c>
      <c r="AO61" s="166"/>
      <c r="AP61" s="161">
        <f>AP60</f>
        <v>4090.74</v>
      </c>
      <c r="AQ61" s="161">
        <f>AP61*1.12</f>
        <v>4581.6288000000004</v>
      </c>
      <c r="AR61" s="161"/>
      <c r="AS61" s="161"/>
      <c r="AT61" s="167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591"/>
      <c r="BH61" s="168"/>
      <c r="BI61" s="168"/>
      <c r="BJ61" s="168"/>
      <c r="BK61" s="168"/>
      <c r="BL61" s="168"/>
      <c r="BM61" s="168"/>
      <c r="BN61" s="168"/>
      <c r="BQ61" s="170"/>
      <c r="BR61" s="171"/>
      <c r="BS61" s="567"/>
    </row>
    <row r="62" spans="1:71" s="156" customFormat="1" ht="12" customHeight="1" outlineLevel="1" x14ac:dyDescent="0.35">
      <c r="A62" s="499"/>
      <c r="B62" s="468"/>
      <c r="C62" s="146" t="s">
        <v>72</v>
      </c>
      <c r="D62" s="146" t="s">
        <v>73</v>
      </c>
      <c r="E62" s="147">
        <f t="shared" si="28"/>
        <v>4431.6350000000002</v>
      </c>
      <c r="F62" s="148">
        <f t="shared" si="29"/>
        <v>4963.4312000000009</v>
      </c>
      <c r="G62" s="533"/>
      <c r="H62" s="582">
        <v>13</v>
      </c>
      <c r="I62" s="148">
        <v>4431.6350000000002</v>
      </c>
      <c r="J62" s="148">
        <f t="shared" si="30"/>
        <v>4963.4312000000009</v>
      </c>
      <c r="K62" s="568"/>
      <c r="L62" s="592"/>
      <c r="M62" s="581"/>
      <c r="N62" s="172">
        <f>O62/1.12</f>
        <v>4431635</v>
      </c>
      <c r="O62" s="172">
        <v>4963431.2</v>
      </c>
      <c r="P62" s="172">
        <f t="shared" si="33"/>
        <v>4431635</v>
      </c>
      <c r="Q62" s="172">
        <f t="shared" si="33"/>
        <v>4963431.2</v>
      </c>
      <c r="R62" s="594"/>
      <c r="S62" s="575">
        <v>13</v>
      </c>
      <c r="T62" s="148"/>
      <c r="U62" s="148"/>
      <c r="V62" s="148"/>
      <c r="W62" s="148"/>
      <c r="X62" s="148"/>
      <c r="Y62" s="148"/>
      <c r="Z62" s="124">
        <f t="shared" si="34"/>
        <v>0</v>
      </c>
      <c r="AA62" s="124">
        <f t="shared" si="34"/>
        <v>0</v>
      </c>
      <c r="AB62" s="148"/>
      <c r="AC62" s="148">
        <v>4431.6350000000002</v>
      </c>
      <c r="AD62" s="148">
        <f t="shared" si="25"/>
        <v>4963.4312000000009</v>
      </c>
      <c r="AE62" s="148">
        <v>13</v>
      </c>
      <c r="AF62" s="151">
        <f>4431.635-1</f>
        <v>4430.6350000000002</v>
      </c>
      <c r="AG62" s="148">
        <f t="shared" si="36"/>
        <v>4962.311200000001</v>
      </c>
      <c r="AH62" s="148">
        <v>13</v>
      </c>
      <c r="AI62" s="147">
        <f t="shared" si="35"/>
        <v>-1</v>
      </c>
      <c r="AJ62" s="147">
        <f t="shared" si="35"/>
        <v>-1.1199999999998909</v>
      </c>
      <c r="AK62" s="147"/>
      <c r="AL62" s="152">
        <f t="shared" si="2"/>
        <v>0.99977434964747769</v>
      </c>
      <c r="AM62" s="153"/>
      <c r="AN62" s="127">
        <f>AF62</f>
        <v>4430.6350000000002</v>
      </c>
      <c r="AO62" s="153"/>
      <c r="AP62" s="147">
        <f>I62</f>
        <v>4431.6350000000002</v>
      </c>
      <c r="AQ62" s="147">
        <f>AP62</f>
        <v>4431.6350000000002</v>
      </c>
      <c r="AR62" s="147"/>
      <c r="AS62" s="147"/>
      <c r="AT62" s="154">
        <f>AF62-AC62</f>
        <v>-1</v>
      </c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572"/>
      <c r="BH62" s="155"/>
      <c r="BI62" s="155"/>
      <c r="BJ62" s="155"/>
      <c r="BK62" s="155"/>
      <c r="BL62" s="155"/>
      <c r="BM62" s="155"/>
      <c r="BN62" s="155"/>
      <c r="BQ62" s="157"/>
      <c r="BR62" s="158"/>
      <c r="BS62" s="565" t="s">
        <v>96</v>
      </c>
    </row>
    <row r="63" spans="1:71" s="156" customFormat="1" ht="12" customHeight="1" outlineLevel="1" x14ac:dyDescent="0.35">
      <c r="A63" s="499"/>
      <c r="B63" s="468"/>
      <c r="C63" s="146" t="s">
        <v>74</v>
      </c>
      <c r="D63" s="146" t="s">
        <v>75</v>
      </c>
      <c r="E63" s="147">
        <f t="shared" si="28"/>
        <v>4431.6350000000002</v>
      </c>
      <c r="F63" s="148">
        <f t="shared" si="29"/>
        <v>4963.4312000000009</v>
      </c>
      <c r="G63" s="533"/>
      <c r="H63" s="583"/>
      <c r="I63" s="148">
        <v>4431.6350000000002</v>
      </c>
      <c r="J63" s="148">
        <f t="shared" si="30"/>
        <v>4963.4312000000009</v>
      </c>
      <c r="K63" s="568"/>
      <c r="L63" s="592"/>
      <c r="M63" s="581"/>
      <c r="N63" s="172">
        <f>N62</f>
        <v>4431635</v>
      </c>
      <c r="O63" s="172">
        <f>O62</f>
        <v>4963431.2</v>
      </c>
      <c r="P63" s="172">
        <f t="shared" si="33"/>
        <v>4431635</v>
      </c>
      <c r="Q63" s="172">
        <f t="shared" si="33"/>
        <v>4963431.2</v>
      </c>
      <c r="R63" s="594"/>
      <c r="S63" s="576"/>
      <c r="T63" s="148"/>
      <c r="U63" s="148"/>
      <c r="V63" s="148"/>
      <c r="W63" s="148"/>
      <c r="X63" s="148"/>
      <c r="Y63" s="148"/>
      <c r="Z63" s="124">
        <f t="shared" si="34"/>
        <v>0</v>
      </c>
      <c r="AA63" s="124">
        <f t="shared" si="34"/>
        <v>0</v>
      </c>
      <c r="AB63" s="148"/>
      <c r="AC63" s="148">
        <v>4431.6350000000002</v>
      </c>
      <c r="AD63" s="148">
        <f t="shared" si="25"/>
        <v>4963.4312000000009</v>
      </c>
      <c r="AE63" s="148"/>
      <c r="AF63" s="151">
        <v>4431.6350000000002</v>
      </c>
      <c r="AG63" s="148">
        <f t="shared" si="36"/>
        <v>4963.4312000000009</v>
      </c>
      <c r="AH63" s="148"/>
      <c r="AI63" s="147">
        <f t="shared" si="35"/>
        <v>0</v>
      </c>
      <c r="AJ63" s="147">
        <f t="shared" si="35"/>
        <v>0</v>
      </c>
      <c r="AK63" s="147"/>
      <c r="AL63" s="152">
        <f t="shared" si="2"/>
        <v>1</v>
      </c>
      <c r="AM63" s="153"/>
      <c r="AN63" s="134">
        <f>AN62</f>
        <v>4430.6350000000002</v>
      </c>
      <c r="AO63" s="153"/>
      <c r="AP63" s="147">
        <f>I63</f>
        <v>4431.6350000000002</v>
      </c>
      <c r="AQ63" s="147">
        <f>AP63*1.12</f>
        <v>4963.4312000000009</v>
      </c>
      <c r="AR63" s="147"/>
      <c r="AS63" s="147"/>
      <c r="AT63" s="159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573"/>
      <c r="BH63" s="155"/>
      <c r="BI63" s="155"/>
      <c r="BJ63" s="155"/>
      <c r="BK63" s="155"/>
      <c r="BL63" s="155"/>
      <c r="BM63" s="155"/>
      <c r="BN63" s="155"/>
      <c r="BQ63" s="157"/>
      <c r="BR63" s="158"/>
      <c r="BS63" s="566"/>
    </row>
    <row r="64" spans="1:71" s="169" customFormat="1" ht="12" customHeight="1" outlineLevel="1" x14ac:dyDescent="0.35">
      <c r="A64" s="499"/>
      <c r="B64" s="468"/>
      <c r="C64" s="160" t="s">
        <v>74</v>
      </c>
      <c r="D64" s="160" t="s">
        <v>76</v>
      </c>
      <c r="E64" s="161">
        <f t="shared" si="28"/>
        <v>4431.6350000000002</v>
      </c>
      <c r="F64" s="162">
        <f t="shared" si="29"/>
        <v>4963.4312000000009</v>
      </c>
      <c r="G64" s="533"/>
      <c r="H64" s="584"/>
      <c r="I64" s="162">
        <f>I63</f>
        <v>4431.6350000000002</v>
      </c>
      <c r="J64" s="162">
        <f t="shared" si="30"/>
        <v>4963.4312000000009</v>
      </c>
      <c r="K64" s="568"/>
      <c r="L64" s="592"/>
      <c r="M64" s="581"/>
      <c r="N64" s="177">
        <f>N63</f>
        <v>4431635</v>
      </c>
      <c r="O64" s="177">
        <f>O63</f>
        <v>4963431.2</v>
      </c>
      <c r="P64" s="177">
        <f t="shared" si="33"/>
        <v>4431635</v>
      </c>
      <c r="Q64" s="177">
        <f t="shared" si="33"/>
        <v>4963431.2</v>
      </c>
      <c r="R64" s="594"/>
      <c r="S64" s="577"/>
      <c r="T64" s="162"/>
      <c r="U64" s="162"/>
      <c r="V64" s="162"/>
      <c r="W64" s="162"/>
      <c r="X64" s="162"/>
      <c r="Y64" s="162"/>
      <c r="Z64" s="131">
        <f t="shared" si="34"/>
        <v>0</v>
      </c>
      <c r="AA64" s="131">
        <f t="shared" si="34"/>
        <v>0</v>
      </c>
      <c r="AB64" s="162"/>
      <c r="AC64" s="162">
        <f>AC63</f>
        <v>4431.6350000000002</v>
      </c>
      <c r="AD64" s="162">
        <f t="shared" si="25"/>
        <v>4963.4312000000009</v>
      </c>
      <c r="AE64" s="162"/>
      <c r="AF64" s="164">
        <f>AF63</f>
        <v>4431.6350000000002</v>
      </c>
      <c r="AG64" s="162">
        <f t="shared" si="36"/>
        <v>4963.4312000000009</v>
      </c>
      <c r="AH64" s="162"/>
      <c r="AI64" s="161">
        <f t="shared" si="35"/>
        <v>0</v>
      </c>
      <c r="AJ64" s="161">
        <f t="shared" si="35"/>
        <v>0</v>
      </c>
      <c r="AK64" s="161"/>
      <c r="AL64" s="165">
        <f t="shared" si="2"/>
        <v>1</v>
      </c>
      <c r="AM64" s="166"/>
      <c r="AN64" s="166">
        <f>AF64</f>
        <v>4431.6350000000002</v>
      </c>
      <c r="AO64" s="166"/>
      <c r="AP64" s="161">
        <f>AP63</f>
        <v>4431.6350000000002</v>
      </c>
      <c r="AQ64" s="161">
        <f>AP64*1.12</f>
        <v>4963.4312000000009</v>
      </c>
      <c r="AR64" s="161"/>
      <c r="AS64" s="161"/>
      <c r="AT64" s="167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574"/>
      <c r="BH64" s="168"/>
      <c r="BI64" s="168"/>
      <c r="BJ64" s="168"/>
      <c r="BK64" s="168"/>
      <c r="BL64" s="168"/>
      <c r="BM64" s="168"/>
      <c r="BN64" s="168"/>
      <c r="BQ64" s="170"/>
      <c r="BR64" s="171"/>
      <c r="BS64" s="567"/>
    </row>
    <row r="65" spans="1:71" s="156" customFormat="1" ht="12" customHeight="1" outlineLevel="1" x14ac:dyDescent="0.35">
      <c r="A65" s="499"/>
      <c r="B65" s="468"/>
      <c r="C65" s="146" t="s">
        <v>72</v>
      </c>
      <c r="D65" s="146" t="s">
        <v>73</v>
      </c>
      <c r="E65" s="147">
        <f t="shared" si="28"/>
        <v>4090.74</v>
      </c>
      <c r="F65" s="148">
        <f t="shared" si="29"/>
        <v>4581.6288000000004</v>
      </c>
      <c r="G65" s="533"/>
      <c r="H65" s="582">
        <v>12</v>
      </c>
      <c r="I65" s="148">
        <v>4090.74</v>
      </c>
      <c r="J65" s="148">
        <f t="shared" si="30"/>
        <v>4581.6288000000004</v>
      </c>
      <c r="K65" s="568"/>
      <c r="L65" s="592"/>
      <c r="M65" s="581"/>
      <c r="N65" s="172">
        <f>O65/1.12</f>
        <v>4090740.0000000005</v>
      </c>
      <c r="O65" s="172">
        <v>4581628.8000000007</v>
      </c>
      <c r="P65" s="172">
        <f t="shared" si="33"/>
        <v>4090740.0000000005</v>
      </c>
      <c r="Q65" s="172">
        <f t="shared" si="33"/>
        <v>4581628.8000000007</v>
      </c>
      <c r="R65" s="594"/>
      <c r="S65" s="575">
        <v>12</v>
      </c>
      <c r="T65" s="148"/>
      <c r="U65" s="148"/>
      <c r="V65" s="148"/>
      <c r="W65" s="148"/>
      <c r="X65" s="148"/>
      <c r="Y65" s="148"/>
      <c r="Z65" s="124">
        <f t="shared" si="34"/>
        <v>0</v>
      </c>
      <c r="AA65" s="124">
        <f t="shared" si="34"/>
        <v>0</v>
      </c>
      <c r="AB65" s="148"/>
      <c r="AC65" s="148">
        <v>4090.74</v>
      </c>
      <c r="AD65" s="148">
        <f t="shared" si="25"/>
        <v>4581.6288000000004</v>
      </c>
      <c r="AE65" s="148">
        <v>12</v>
      </c>
      <c r="AF65" s="151">
        <v>4091</v>
      </c>
      <c r="AG65" s="148">
        <f t="shared" si="36"/>
        <v>4581.92</v>
      </c>
      <c r="AH65" s="148">
        <v>12</v>
      </c>
      <c r="AI65" s="147">
        <f t="shared" si="35"/>
        <v>0.26000000000021828</v>
      </c>
      <c r="AJ65" s="147">
        <f t="shared" si="35"/>
        <v>0.2911999999996624</v>
      </c>
      <c r="AK65" s="147"/>
      <c r="AL65" s="152">
        <f t="shared" si="2"/>
        <v>1.0000635581826272</v>
      </c>
      <c r="AM65" s="153"/>
      <c r="AN65" s="127">
        <f>AF65</f>
        <v>4091</v>
      </c>
      <c r="AO65" s="153"/>
      <c r="AP65" s="147">
        <f>I65</f>
        <v>4090.74</v>
      </c>
      <c r="AQ65" s="147">
        <f>AP65</f>
        <v>4090.74</v>
      </c>
      <c r="AR65" s="147"/>
      <c r="AS65" s="147"/>
      <c r="AT65" s="154">
        <f>AF65-AC65</f>
        <v>0.26000000000021828</v>
      </c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572"/>
      <c r="BH65" s="155"/>
      <c r="BI65" s="155"/>
      <c r="BJ65" s="155"/>
      <c r="BK65" s="155"/>
      <c r="BL65" s="155"/>
      <c r="BM65" s="155"/>
      <c r="BN65" s="155"/>
      <c r="BQ65" s="157"/>
      <c r="BR65" s="158"/>
      <c r="BS65" s="565" t="s">
        <v>97</v>
      </c>
    </row>
    <row r="66" spans="1:71" s="156" customFormat="1" ht="12" customHeight="1" outlineLevel="1" x14ac:dyDescent="0.35">
      <c r="A66" s="499"/>
      <c r="B66" s="468"/>
      <c r="C66" s="146" t="s">
        <v>74</v>
      </c>
      <c r="D66" s="146" t="s">
        <v>75</v>
      </c>
      <c r="E66" s="147">
        <f t="shared" si="28"/>
        <v>4090.74</v>
      </c>
      <c r="F66" s="148">
        <f t="shared" si="29"/>
        <v>4581.6288000000004</v>
      </c>
      <c r="G66" s="533"/>
      <c r="H66" s="583"/>
      <c r="I66" s="148">
        <v>4090.74</v>
      </c>
      <c r="J66" s="148">
        <f t="shared" si="30"/>
        <v>4581.6288000000004</v>
      </c>
      <c r="K66" s="568"/>
      <c r="L66" s="592"/>
      <c r="M66" s="581"/>
      <c r="N66" s="172">
        <f>N65</f>
        <v>4090740.0000000005</v>
      </c>
      <c r="O66" s="172">
        <f>O65</f>
        <v>4581628.8000000007</v>
      </c>
      <c r="P66" s="172">
        <f t="shared" si="33"/>
        <v>4090740.0000000005</v>
      </c>
      <c r="Q66" s="172">
        <f t="shared" si="33"/>
        <v>4581628.8000000007</v>
      </c>
      <c r="R66" s="594"/>
      <c r="S66" s="576"/>
      <c r="T66" s="148"/>
      <c r="U66" s="148"/>
      <c r="V66" s="148"/>
      <c r="W66" s="148"/>
      <c r="X66" s="148"/>
      <c r="Y66" s="148"/>
      <c r="Z66" s="124">
        <f t="shared" si="34"/>
        <v>0</v>
      </c>
      <c r="AA66" s="124">
        <f t="shared" si="34"/>
        <v>0</v>
      </c>
      <c r="AB66" s="148"/>
      <c r="AC66" s="148">
        <v>4090.74</v>
      </c>
      <c r="AD66" s="148">
        <f t="shared" si="25"/>
        <v>4581.6288000000004</v>
      </c>
      <c r="AE66" s="148"/>
      <c r="AF66" s="151">
        <v>4090.74</v>
      </c>
      <c r="AG66" s="148">
        <f t="shared" si="36"/>
        <v>4581.6288000000004</v>
      </c>
      <c r="AH66" s="148"/>
      <c r="AI66" s="147">
        <f t="shared" si="35"/>
        <v>0</v>
      </c>
      <c r="AJ66" s="147">
        <f t="shared" si="35"/>
        <v>0</v>
      </c>
      <c r="AK66" s="147"/>
      <c r="AL66" s="152">
        <f t="shared" si="2"/>
        <v>1</v>
      </c>
      <c r="AM66" s="153"/>
      <c r="AN66" s="134">
        <f>AN65</f>
        <v>4091</v>
      </c>
      <c r="AO66" s="153"/>
      <c r="AP66" s="147">
        <f>I66</f>
        <v>4090.74</v>
      </c>
      <c r="AQ66" s="147">
        <f>AP66*1.12</f>
        <v>4581.6288000000004</v>
      </c>
      <c r="AR66" s="147"/>
      <c r="AS66" s="147"/>
      <c r="AT66" s="159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573"/>
      <c r="BH66" s="155"/>
      <c r="BI66" s="155"/>
      <c r="BJ66" s="155"/>
      <c r="BK66" s="155"/>
      <c r="BL66" s="155"/>
      <c r="BM66" s="155"/>
      <c r="BN66" s="155"/>
      <c r="BQ66" s="157"/>
      <c r="BR66" s="158"/>
      <c r="BS66" s="566"/>
    </row>
    <row r="67" spans="1:71" s="169" customFormat="1" ht="12" customHeight="1" outlineLevel="1" x14ac:dyDescent="0.35">
      <c r="A67" s="499"/>
      <c r="B67" s="468"/>
      <c r="C67" s="160" t="s">
        <v>74</v>
      </c>
      <c r="D67" s="160" t="s">
        <v>76</v>
      </c>
      <c r="E67" s="161">
        <f t="shared" si="28"/>
        <v>4090.74</v>
      </c>
      <c r="F67" s="162">
        <f t="shared" si="29"/>
        <v>4581.6288000000004</v>
      </c>
      <c r="G67" s="533"/>
      <c r="H67" s="584"/>
      <c r="I67" s="162">
        <f>I66</f>
        <v>4090.74</v>
      </c>
      <c r="J67" s="162">
        <f t="shared" si="30"/>
        <v>4581.6288000000004</v>
      </c>
      <c r="K67" s="568"/>
      <c r="L67" s="592"/>
      <c r="M67" s="581"/>
      <c r="N67" s="177">
        <f>N66</f>
        <v>4090740.0000000005</v>
      </c>
      <c r="O67" s="177">
        <f>O66</f>
        <v>4581628.8000000007</v>
      </c>
      <c r="P67" s="177">
        <f t="shared" si="33"/>
        <v>4090740.0000000005</v>
      </c>
      <c r="Q67" s="177">
        <f t="shared" si="33"/>
        <v>4581628.8000000007</v>
      </c>
      <c r="R67" s="594"/>
      <c r="S67" s="577"/>
      <c r="T67" s="162"/>
      <c r="U67" s="162"/>
      <c r="V67" s="162"/>
      <c r="W67" s="162"/>
      <c r="X67" s="162"/>
      <c r="Y67" s="162"/>
      <c r="Z67" s="131">
        <f t="shared" si="34"/>
        <v>0</v>
      </c>
      <c r="AA67" s="131">
        <f t="shared" si="34"/>
        <v>0</v>
      </c>
      <c r="AB67" s="162"/>
      <c r="AC67" s="162">
        <f>AC66</f>
        <v>4090.74</v>
      </c>
      <c r="AD67" s="162">
        <f t="shared" si="25"/>
        <v>4581.6288000000004</v>
      </c>
      <c r="AE67" s="162"/>
      <c r="AF67" s="164">
        <f>AF66</f>
        <v>4090.74</v>
      </c>
      <c r="AG67" s="162">
        <f t="shared" si="36"/>
        <v>4581.6288000000004</v>
      </c>
      <c r="AH67" s="162"/>
      <c r="AI67" s="161">
        <f t="shared" si="35"/>
        <v>0</v>
      </c>
      <c r="AJ67" s="161">
        <f t="shared" si="35"/>
        <v>0</v>
      </c>
      <c r="AK67" s="161"/>
      <c r="AL67" s="165">
        <f t="shared" si="2"/>
        <v>1</v>
      </c>
      <c r="AM67" s="166"/>
      <c r="AN67" s="166">
        <f>AF67</f>
        <v>4090.74</v>
      </c>
      <c r="AO67" s="166"/>
      <c r="AP67" s="161">
        <f>AP66</f>
        <v>4090.74</v>
      </c>
      <c r="AQ67" s="161">
        <f>AP67*1.12</f>
        <v>4581.6288000000004</v>
      </c>
      <c r="AR67" s="161"/>
      <c r="AS67" s="161"/>
      <c r="AT67" s="167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574"/>
      <c r="BH67" s="168"/>
      <c r="BI67" s="168"/>
      <c r="BJ67" s="168"/>
      <c r="BK67" s="168"/>
      <c r="BL67" s="168"/>
      <c r="BM67" s="168"/>
      <c r="BN67" s="168"/>
      <c r="BQ67" s="170"/>
      <c r="BR67" s="171"/>
      <c r="BS67" s="567"/>
    </row>
    <row r="68" spans="1:71" s="156" customFormat="1" ht="12" customHeight="1" outlineLevel="1" x14ac:dyDescent="0.35">
      <c r="A68" s="499"/>
      <c r="B68" s="468"/>
      <c r="C68" s="146" t="s">
        <v>72</v>
      </c>
      <c r="D68" s="146" t="s">
        <v>73</v>
      </c>
      <c r="E68" s="147">
        <f t="shared" si="28"/>
        <v>4090.74</v>
      </c>
      <c r="F68" s="148">
        <f t="shared" si="29"/>
        <v>4581.6288000000004</v>
      </c>
      <c r="G68" s="533"/>
      <c r="H68" s="582">
        <v>12</v>
      </c>
      <c r="I68" s="148">
        <v>4090.74</v>
      </c>
      <c r="J68" s="148">
        <f t="shared" si="30"/>
        <v>4581.6288000000004</v>
      </c>
      <c r="K68" s="568"/>
      <c r="L68" s="592"/>
      <c r="M68" s="581"/>
      <c r="N68" s="172">
        <f>O68/1.12</f>
        <v>4090740.0000000005</v>
      </c>
      <c r="O68" s="172">
        <v>4581628.8000000007</v>
      </c>
      <c r="P68" s="172">
        <f t="shared" si="33"/>
        <v>4090740.0000000005</v>
      </c>
      <c r="Q68" s="172">
        <f t="shared" si="33"/>
        <v>4581628.8000000007</v>
      </c>
      <c r="R68" s="594"/>
      <c r="S68" s="575">
        <v>12</v>
      </c>
      <c r="T68" s="148"/>
      <c r="U68" s="148"/>
      <c r="V68" s="148"/>
      <c r="W68" s="148"/>
      <c r="X68" s="148"/>
      <c r="Y68" s="148"/>
      <c r="Z68" s="124">
        <f t="shared" si="34"/>
        <v>0</v>
      </c>
      <c r="AA68" s="124">
        <f t="shared" si="34"/>
        <v>0</v>
      </c>
      <c r="AB68" s="148"/>
      <c r="AC68" s="148">
        <v>4090.74</v>
      </c>
      <c r="AD68" s="148">
        <f t="shared" si="25"/>
        <v>4581.6288000000004</v>
      </c>
      <c r="AE68" s="148">
        <v>12</v>
      </c>
      <c r="AF68" s="151">
        <v>4091</v>
      </c>
      <c r="AG68" s="148">
        <f t="shared" si="36"/>
        <v>4581.92</v>
      </c>
      <c r="AH68" s="148">
        <v>12</v>
      </c>
      <c r="AI68" s="147">
        <f t="shared" si="35"/>
        <v>0.26000000000021828</v>
      </c>
      <c r="AJ68" s="147">
        <f t="shared" si="35"/>
        <v>0.2911999999996624</v>
      </c>
      <c r="AK68" s="147"/>
      <c r="AL68" s="152">
        <f t="shared" si="2"/>
        <v>1.0000635581826272</v>
      </c>
      <c r="AM68" s="153"/>
      <c r="AN68" s="127">
        <f>AF68</f>
        <v>4091</v>
      </c>
      <c r="AO68" s="153"/>
      <c r="AP68" s="147">
        <f>I68</f>
        <v>4090.74</v>
      </c>
      <c r="AQ68" s="147">
        <f>AP68</f>
        <v>4090.74</v>
      </c>
      <c r="AR68" s="147"/>
      <c r="AS68" s="147"/>
      <c r="AT68" s="154">
        <f>AF68-AC68</f>
        <v>0.26000000000021828</v>
      </c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572"/>
      <c r="BH68" s="155"/>
      <c r="BI68" s="155"/>
      <c r="BJ68" s="155"/>
      <c r="BK68" s="155"/>
      <c r="BL68" s="155"/>
      <c r="BM68" s="155"/>
      <c r="BN68" s="155"/>
      <c r="BQ68" s="157"/>
      <c r="BR68" s="158"/>
      <c r="BS68" s="565" t="s">
        <v>98</v>
      </c>
    </row>
    <row r="69" spans="1:71" s="156" customFormat="1" ht="12" customHeight="1" outlineLevel="1" x14ac:dyDescent="0.35">
      <c r="A69" s="499"/>
      <c r="B69" s="468"/>
      <c r="C69" s="146" t="s">
        <v>74</v>
      </c>
      <c r="D69" s="146" t="s">
        <v>75</v>
      </c>
      <c r="E69" s="147">
        <f t="shared" si="28"/>
        <v>4090.74</v>
      </c>
      <c r="F69" s="148">
        <f t="shared" si="29"/>
        <v>4581.6288000000004</v>
      </c>
      <c r="G69" s="533"/>
      <c r="H69" s="583"/>
      <c r="I69" s="148">
        <v>4090.74</v>
      </c>
      <c r="J69" s="148">
        <f t="shared" si="30"/>
        <v>4581.6288000000004</v>
      </c>
      <c r="K69" s="568"/>
      <c r="L69" s="592"/>
      <c r="M69" s="581"/>
      <c r="N69" s="172">
        <f>N68</f>
        <v>4090740.0000000005</v>
      </c>
      <c r="O69" s="172">
        <f>O68</f>
        <v>4581628.8000000007</v>
      </c>
      <c r="P69" s="172">
        <f t="shared" si="33"/>
        <v>4090740.0000000005</v>
      </c>
      <c r="Q69" s="172">
        <f t="shared" si="33"/>
        <v>4581628.8000000007</v>
      </c>
      <c r="R69" s="594"/>
      <c r="S69" s="576"/>
      <c r="T69" s="148"/>
      <c r="U69" s="148"/>
      <c r="V69" s="148"/>
      <c r="W69" s="148"/>
      <c r="X69" s="148"/>
      <c r="Y69" s="148"/>
      <c r="Z69" s="124">
        <f t="shared" si="34"/>
        <v>0</v>
      </c>
      <c r="AA69" s="124">
        <f t="shared" si="34"/>
        <v>0</v>
      </c>
      <c r="AB69" s="148"/>
      <c r="AC69" s="148">
        <v>4090.74</v>
      </c>
      <c r="AD69" s="148">
        <f t="shared" si="25"/>
        <v>4581.6288000000004</v>
      </c>
      <c r="AE69" s="148"/>
      <c r="AF69" s="151">
        <v>4090.74</v>
      </c>
      <c r="AG69" s="148">
        <f t="shared" si="36"/>
        <v>4581.6288000000004</v>
      </c>
      <c r="AH69" s="148"/>
      <c r="AI69" s="147">
        <f t="shared" si="35"/>
        <v>0</v>
      </c>
      <c r="AJ69" s="147">
        <f t="shared" si="35"/>
        <v>0</v>
      </c>
      <c r="AK69" s="147"/>
      <c r="AL69" s="152">
        <f t="shared" si="2"/>
        <v>1</v>
      </c>
      <c r="AM69" s="153"/>
      <c r="AN69" s="134">
        <f>AN68</f>
        <v>4091</v>
      </c>
      <c r="AO69" s="153"/>
      <c r="AP69" s="147">
        <f>I69</f>
        <v>4090.74</v>
      </c>
      <c r="AQ69" s="147">
        <f>AP69*1.12</f>
        <v>4581.6288000000004</v>
      </c>
      <c r="AR69" s="147"/>
      <c r="AS69" s="147"/>
      <c r="AT69" s="159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573"/>
      <c r="BH69" s="155"/>
      <c r="BI69" s="155"/>
      <c r="BJ69" s="155"/>
      <c r="BK69" s="155"/>
      <c r="BL69" s="155"/>
      <c r="BM69" s="155"/>
      <c r="BN69" s="155"/>
      <c r="BQ69" s="157"/>
      <c r="BR69" s="158"/>
      <c r="BS69" s="566"/>
    </row>
    <row r="70" spans="1:71" s="169" customFormat="1" ht="12" customHeight="1" outlineLevel="1" x14ac:dyDescent="0.35">
      <c r="A70" s="499"/>
      <c r="B70" s="468"/>
      <c r="C70" s="160" t="s">
        <v>74</v>
      </c>
      <c r="D70" s="160" t="s">
        <v>76</v>
      </c>
      <c r="E70" s="161">
        <f t="shared" si="28"/>
        <v>4090.74</v>
      </c>
      <c r="F70" s="162">
        <f t="shared" si="29"/>
        <v>4581.6288000000004</v>
      </c>
      <c r="G70" s="533"/>
      <c r="H70" s="584"/>
      <c r="I70" s="162">
        <f>I69</f>
        <v>4090.74</v>
      </c>
      <c r="J70" s="162">
        <f t="shared" si="30"/>
        <v>4581.6288000000004</v>
      </c>
      <c r="K70" s="568"/>
      <c r="L70" s="592"/>
      <c r="M70" s="581"/>
      <c r="N70" s="177">
        <f>N69</f>
        <v>4090740.0000000005</v>
      </c>
      <c r="O70" s="177">
        <f>O69</f>
        <v>4581628.8000000007</v>
      </c>
      <c r="P70" s="177">
        <f t="shared" si="33"/>
        <v>4090740.0000000005</v>
      </c>
      <c r="Q70" s="177">
        <f t="shared" si="33"/>
        <v>4581628.8000000007</v>
      </c>
      <c r="R70" s="594"/>
      <c r="S70" s="577"/>
      <c r="T70" s="162"/>
      <c r="U70" s="162"/>
      <c r="V70" s="162"/>
      <c r="W70" s="162"/>
      <c r="X70" s="162"/>
      <c r="Y70" s="162"/>
      <c r="Z70" s="131">
        <f t="shared" si="34"/>
        <v>0</v>
      </c>
      <c r="AA70" s="131">
        <f t="shared" si="34"/>
        <v>0</v>
      </c>
      <c r="AB70" s="162"/>
      <c r="AC70" s="162">
        <f>AC69</f>
        <v>4090.74</v>
      </c>
      <c r="AD70" s="162">
        <f t="shared" si="25"/>
        <v>4581.6288000000004</v>
      </c>
      <c r="AE70" s="162"/>
      <c r="AF70" s="164">
        <f>AF69</f>
        <v>4090.74</v>
      </c>
      <c r="AG70" s="162">
        <f t="shared" si="36"/>
        <v>4581.6288000000004</v>
      </c>
      <c r="AH70" s="162"/>
      <c r="AI70" s="161">
        <f t="shared" si="35"/>
        <v>0</v>
      </c>
      <c r="AJ70" s="161">
        <f t="shared" si="35"/>
        <v>0</v>
      </c>
      <c r="AK70" s="161"/>
      <c r="AL70" s="165">
        <f t="shared" si="2"/>
        <v>1</v>
      </c>
      <c r="AM70" s="166"/>
      <c r="AN70" s="166">
        <f>AF70</f>
        <v>4090.74</v>
      </c>
      <c r="AO70" s="166"/>
      <c r="AP70" s="161">
        <f>AP69</f>
        <v>4090.74</v>
      </c>
      <c r="AQ70" s="161">
        <f>AP70*1.12</f>
        <v>4581.6288000000004</v>
      </c>
      <c r="AR70" s="161"/>
      <c r="AS70" s="161"/>
      <c r="AT70" s="167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574"/>
      <c r="BH70" s="168"/>
      <c r="BI70" s="168"/>
      <c r="BJ70" s="168"/>
      <c r="BK70" s="168"/>
      <c r="BL70" s="168"/>
      <c r="BM70" s="168"/>
      <c r="BN70" s="168"/>
      <c r="BQ70" s="170"/>
      <c r="BR70" s="171"/>
      <c r="BS70" s="567"/>
    </row>
    <row r="71" spans="1:71" s="156" customFormat="1" outlineLevel="1" x14ac:dyDescent="0.35">
      <c r="A71" s="499"/>
      <c r="B71" s="468"/>
      <c r="C71" s="146" t="s">
        <v>72</v>
      </c>
      <c r="D71" s="146" t="s">
        <v>73</v>
      </c>
      <c r="E71" s="147">
        <f t="shared" si="28"/>
        <v>4090.74</v>
      </c>
      <c r="F71" s="148">
        <f t="shared" si="29"/>
        <v>4581.6288000000004</v>
      </c>
      <c r="G71" s="533"/>
      <c r="H71" s="582">
        <v>12</v>
      </c>
      <c r="I71" s="148">
        <v>4090.74</v>
      </c>
      <c r="J71" s="148">
        <f t="shared" si="30"/>
        <v>4581.6288000000004</v>
      </c>
      <c r="K71" s="568"/>
      <c r="L71" s="592"/>
      <c r="M71" s="581"/>
      <c r="N71" s="172">
        <f>O71/1.12</f>
        <v>4090740.0000000005</v>
      </c>
      <c r="O71" s="172">
        <v>4581628.8000000007</v>
      </c>
      <c r="P71" s="172">
        <f t="shared" si="33"/>
        <v>4090740.0000000005</v>
      </c>
      <c r="Q71" s="172">
        <f t="shared" si="33"/>
        <v>4581628.8000000007</v>
      </c>
      <c r="R71" s="594"/>
      <c r="S71" s="575">
        <v>12</v>
      </c>
      <c r="T71" s="148"/>
      <c r="U71" s="148"/>
      <c r="V71" s="148"/>
      <c r="W71" s="148"/>
      <c r="X71" s="148"/>
      <c r="Y71" s="148"/>
      <c r="Z71" s="124">
        <f t="shared" si="34"/>
        <v>0</v>
      </c>
      <c r="AA71" s="124">
        <f t="shared" si="34"/>
        <v>0</v>
      </c>
      <c r="AB71" s="148"/>
      <c r="AC71" s="148">
        <v>4090.74</v>
      </c>
      <c r="AD71" s="148">
        <f t="shared" si="25"/>
        <v>4581.6288000000004</v>
      </c>
      <c r="AE71" s="148">
        <v>12</v>
      </c>
      <c r="AF71" s="151">
        <v>4091</v>
      </c>
      <c r="AG71" s="148">
        <f t="shared" si="36"/>
        <v>4581.92</v>
      </c>
      <c r="AH71" s="148">
        <v>12</v>
      </c>
      <c r="AI71" s="147">
        <f t="shared" si="35"/>
        <v>0.26000000000021828</v>
      </c>
      <c r="AJ71" s="147">
        <f t="shared" si="35"/>
        <v>0.2911999999996624</v>
      </c>
      <c r="AK71" s="147"/>
      <c r="AL71" s="152">
        <f t="shared" si="2"/>
        <v>1.0000635581826272</v>
      </c>
      <c r="AM71" s="153"/>
      <c r="AN71" s="127">
        <f>AF71</f>
        <v>4091</v>
      </c>
      <c r="AO71" s="153"/>
      <c r="AP71" s="147">
        <f>I71</f>
        <v>4090.74</v>
      </c>
      <c r="AQ71" s="147">
        <f>AP71</f>
        <v>4090.74</v>
      </c>
      <c r="AR71" s="147"/>
      <c r="AS71" s="147"/>
      <c r="AT71" s="154">
        <f>AF71-AC71</f>
        <v>0.26000000000021828</v>
      </c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572"/>
      <c r="BH71" s="155"/>
      <c r="BI71" s="155"/>
      <c r="BJ71" s="155"/>
      <c r="BK71" s="155"/>
      <c r="BL71" s="155"/>
      <c r="BM71" s="155"/>
      <c r="BN71" s="155"/>
      <c r="BQ71" s="157"/>
      <c r="BR71" s="158"/>
      <c r="BS71" s="565" t="s">
        <v>99</v>
      </c>
    </row>
    <row r="72" spans="1:71" s="156" customFormat="1" outlineLevel="1" x14ac:dyDescent="0.35">
      <c r="A72" s="499"/>
      <c r="B72" s="468"/>
      <c r="C72" s="146" t="s">
        <v>74</v>
      </c>
      <c r="D72" s="146" t="s">
        <v>75</v>
      </c>
      <c r="E72" s="147">
        <f t="shared" si="28"/>
        <v>4090.74</v>
      </c>
      <c r="F72" s="148">
        <f t="shared" si="29"/>
        <v>4581.6288000000004</v>
      </c>
      <c r="G72" s="533"/>
      <c r="H72" s="583"/>
      <c r="I72" s="148">
        <v>4090.74</v>
      </c>
      <c r="J72" s="148">
        <f t="shared" si="30"/>
        <v>4581.6288000000004</v>
      </c>
      <c r="K72" s="568"/>
      <c r="L72" s="592"/>
      <c r="M72" s="581"/>
      <c r="N72" s="172">
        <f>N71</f>
        <v>4090740.0000000005</v>
      </c>
      <c r="O72" s="172">
        <f>O71</f>
        <v>4581628.8000000007</v>
      </c>
      <c r="P72" s="172">
        <f t="shared" si="33"/>
        <v>4090740.0000000005</v>
      </c>
      <c r="Q72" s="172">
        <f t="shared" si="33"/>
        <v>4581628.8000000007</v>
      </c>
      <c r="R72" s="594"/>
      <c r="S72" s="576"/>
      <c r="T72" s="148"/>
      <c r="U72" s="148"/>
      <c r="V72" s="148"/>
      <c r="W72" s="148"/>
      <c r="X72" s="148"/>
      <c r="Y72" s="148"/>
      <c r="Z72" s="124">
        <f t="shared" si="34"/>
        <v>0</v>
      </c>
      <c r="AA72" s="124">
        <f t="shared" si="34"/>
        <v>0</v>
      </c>
      <c r="AB72" s="148"/>
      <c r="AC72" s="148">
        <v>4090.74</v>
      </c>
      <c r="AD72" s="148">
        <f t="shared" si="25"/>
        <v>4581.6288000000004</v>
      </c>
      <c r="AE72" s="148"/>
      <c r="AF72" s="151">
        <v>4090.74</v>
      </c>
      <c r="AG72" s="148">
        <f t="shared" si="36"/>
        <v>4581.6288000000004</v>
      </c>
      <c r="AH72" s="148"/>
      <c r="AI72" s="147">
        <f t="shared" si="35"/>
        <v>0</v>
      </c>
      <c r="AJ72" s="147">
        <f t="shared" si="35"/>
        <v>0</v>
      </c>
      <c r="AK72" s="147"/>
      <c r="AL72" s="152">
        <f t="shared" si="2"/>
        <v>1</v>
      </c>
      <c r="AM72" s="153"/>
      <c r="AN72" s="134">
        <f>AN71</f>
        <v>4091</v>
      </c>
      <c r="AO72" s="153"/>
      <c r="AP72" s="147">
        <f>I72</f>
        <v>4090.74</v>
      </c>
      <c r="AQ72" s="147">
        <f>AP72*1.12</f>
        <v>4581.6288000000004</v>
      </c>
      <c r="AR72" s="147"/>
      <c r="AS72" s="147"/>
      <c r="AT72" s="159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573"/>
      <c r="BH72" s="155"/>
      <c r="BI72" s="155"/>
      <c r="BJ72" s="155"/>
      <c r="BK72" s="155"/>
      <c r="BL72" s="155"/>
      <c r="BM72" s="155"/>
      <c r="BN72" s="155"/>
      <c r="BQ72" s="157"/>
      <c r="BR72" s="158"/>
      <c r="BS72" s="566"/>
    </row>
    <row r="73" spans="1:71" s="169" customFormat="1" outlineLevel="1" x14ac:dyDescent="0.35">
      <c r="A73" s="499"/>
      <c r="B73" s="468"/>
      <c r="C73" s="160" t="s">
        <v>74</v>
      </c>
      <c r="D73" s="160" t="s">
        <v>76</v>
      </c>
      <c r="E73" s="161">
        <f t="shared" si="28"/>
        <v>4090.74</v>
      </c>
      <c r="F73" s="162">
        <f t="shared" si="29"/>
        <v>4581.6288000000004</v>
      </c>
      <c r="G73" s="533"/>
      <c r="H73" s="584"/>
      <c r="I73" s="162">
        <f>I72</f>
        <v>4090.74</v>
      </c>
      <c r="J73" s="162">
        <f t="shared" si="30"/>
        <v>4581.6288000000004</v>
      </c>
      <c r="K73" s="568"/>
      <c r="L73" s="592"/>
      <c r="M73" s="581"/>
      <c r="N73" s="177">
        <f>N72</f>
        <v>4090740.0000000005</v>
      </c>
      <c r="O73" s="177">
        <f>O72</f>
        <v>4581628.8000000007</v>
      </c>
      <c r="P73" s="177">
        <f t="shared" si="33"/>
        <v>4090740.0000000005</v>
      </c>
      <c r="Q73" s="177">
        <f t="shared" si="33"/>
        <v>4581628.8000000007</v>
      </c>
      <c r="R73" s="594"/>
      <c r="S73" s="577"/>
      <c r="T73" s="162"/>
      <c r="U73" s="162"/>
      <c r="V73" s="162"/>
      <c r="W73" s="162"/>
      <c r="X73" s="162"/>
      <c r="Y73" s="162"/>
      <c r="Z73" s="131">
        <f t="shared" si="34"/>
        <v>0</v>
      </c>
      <c r="AA73" s="131">
        <f t="shared" si="34"/>
        <v>0</v>
      </c>
      <c r="AB73" s="162"/>
      <c r="AC73" s="162">
        <f>AC72</f>
        <v>4090.74</v>
      </c>
      <c r="AD73" s="162">
        <f t="shared" si="25"/>
        <v>4581.6288000000004</v>
      </c>
      <c r="AE73" s="162"/>
      <c r="AF73" s="164">
        <f>AF72</f>
        <v>4090.74</v>
      </c>
      <c r="AG73" s="162">
        <f t="shared" si="36"/>
        <v>4581.6288000000004</v>
      </c>
      <c r="AH73" s="162"/>
      <c r="AI73" s="161">
        <f t="shared" si="35"/>
        <v>0</v>
      </c>
      <c r="AJ73" s="161">
        <f t="shared" si="35"/>
        <v>0</v>
      </c>
      <c r="AK73" s="161"/>
      <c r="AL73" s="165">
        <f t="shared" si="2"/>
        <v>1</v>
      </c>
      <c r="AM73" s="166"/>
      <c r="AN73" s="166">
        <f>AF73</f>
        <v>4090.74</v>
      </c>
      <c r="AO73" s="166"/>
      <c r="AP73" s="161">
        <f>AP72</f>
        <v>4090.74</v>
      </c>
      <c r="AQ73" s="161">
        <f>AP73*1.12</f>
        <v>4581.6288000000004</v>
      </c>
      <c r="AR73" s="161"/>
      <c r="AS73" s="161"/>
      <c r="AT73" s="167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574"/>
      <c r="BH73" s="168"/>
      <c r="BI73" s="168"/>
      <c r="BJ73" s="168"/>
      <c r="BK73" s="168"/>
      <c r="BL73" s="168"/>
      <c r="BM73" s="168"/>
      <c r="BN73" s="168"/>
      <c r="BQ73" s="170"/>
      <c r="BR73" s="171"/>
      <c r="BS73" s="567"/>
    </row>
    <row r="74" spans="1:71" s="156" customFormat="1" outlineLevel="1" x14ac:dyDescent="0.35">
      <c r="A74" s="499"/>
      <c r="B74" s="468"/>
      <c r="C74" s="146" t="s">
        <v>72</v>
      </c>
      <c r="D74" s="146" t="s">
        <v>73</v>
      </c>
      <c r="E74" s="147">
        <f t="shared" si="28"/>
        <v>4090.74</v>
      </c>
      <c r="F74" s="148">
        <f t="shared" si="29"/>
        <v>4581.6288000000004</v>
      </c>
      <c r="G74" s="533"/>
      <c r="H74" s="582">
        <v>12</v>
      </c>
      <c r="I74" s="148">
        <v>4090.74</v>
      </c>
      <c r="J74" s="148">
        <f t="shared" si="30"/>
        <v>4581.6288000000004</v>
      </c>
      <c r="K74" s="568"/>
      <c r="L74" s="592"/>
      <c r="M74" s="581"/>
      <c r="N74" s="172">
        <f>O74/1.12</f>
        <v>4090740.0000000005</v>
      </c>
      <c r="O74" s="172">
        <v>4581628.8000000007</v>
      </c>
      <c r="P74" s="172">
        <f t="shared" si="33"/>
        <v>4090740.0000000005</v>
      </c>
      <c r="Q74" s="172">
        <f t="shared" si="33"/>
        <v>4581628.8000000007</v>
      </c>
      <c r="R74" s="594"/>
      <c r="S74" s="575">
        <v>12</v>
      </c>
      <c r="T74" s="148"/>
      <c r="U74" s="148"/>
      <c r="V74" s="148"/>
      <c r="W74" s="148"/>
      <c r="X74" s="148"/>
      <c r="Y74" s="148"/>
      <c r="Z74" s="124">
        <f t="shared" si="34"/>
        <v>0</v>
      </c>
      <c r="AA74" s="124">
        <f t="shared" si="34"/>
        <v>0</v>
      </c>
      <c r="AB74" s="148"/>
      <c r="AC74" s="148">
        <v>4090.74</v>
      </c>
      <c r="AD74" s="148">
        <f t="shared" si="25"/>
        <v>4581.6288000000004</v>
      </c>
      <c r="AE74" s="148">
        <v>12</v>
      </c>
      <c r="AF74" s="151">
        <v>4091</v>
      </c>
      <c r="AG74" s="148">
        <f t="shared" si="36"/>
        <v>4581.92</v>
      </c>
      <c r="AH74" s="148">
        <v>12</v>
      </c>
      <c r="AI74" s="147">
        <f t="shared" si="35"/>
        <v>0.26000000000021828</v>
      </c>
      <c r="AJ74" s="147">
        <f t="shared" si="35"/>
        <v>0.2911999999996624</v>
      </c>
      <c r="AK74" s="147"/>
      <c r="AL74" s="152">
        <f t="shared" ref="AL74:AL145" si="37">IF(AC74=0,"",AF74/AC74)</f>
        <v>1.0000635581826272</v>
      </c>
      <c r="AM74" s="153"/>
      <c r="AN74" s="127">
        <f>AF74</f>
        <v>4091</v>
      </c>
      <c r="AO74" s="153"/>
      <c r="AP74" s="147">
        <f>I74</f>
        <v>4090.74</v>
      </c>
      <c r="AQ74" s="147">
        <f>AP74</f>
        <v>4090.74</v>
      </c>
      <c r="AR74" s="147"/>
      <c r="AS74" s="147"/>
      <c r="AT74" s="154">
        <f>AF74-AC74</f>
        <v>0.26000000000021828</v>
      </c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572"/>
      <c r="BH74" s="155"/>
      <c r="BI74" s="155"/>
      <c r="BJ74" s="155"/>
      <c r="BK74" s="155"/>
      <c r="BL74" s="155"/>
      <c r="BM74" s="155"/>
      <c r="BN74" s="155"/>
      <c r="BQ74" s="157"/>
      <c r="BR74" s="158"/>
      <c r="BS74" s="565" t="s">
        <v>100</v>
      </c>
    </row>
    <row r="75" spans="1:71" s="156" customFormat="1" outlineLevel="1" x14ac:dyDescent="0.35">
      <c r="A75" s="499"/>
      <c r="B75" s="468"/>
      <c r="C75" s="146" t="s">
        <v>74</v>
      </c>
      <c r="D75" s="146" t="s">
        <v>75</v>
      </c>
      <c r="E75" s="147">
        <f t="shared" si="28"/>
        <v>4090.74</v>
      </c>
      <c r="F75" s="148">
        <f t="shared" si="29"/>
        <v>4581.6288000000004</v>
      </c>
      <c r="G75" s="533"/>
      <c r="H75" s="583"/>
      <c r="I75" s="148">
        <v>4090.74</v>
      </c>
      <c r="J75" s="148">
        <f t="shared" si="30"/>
        <v>4581.6288000000004</v>
      </c>
      <c r="K75" s="568"/>
      <c r="L75" s="592"/>
      <c r="M75" s="581"/>
      <c r="N75" s="172">
        <f>N74</f>
        <v>4090740.0000000005</v>
      </c>
      <c r="O75" s="172">
        <f>O74</f>
        <v>4581628.8000000007</v>
      </c>
      <c r="P75" s="172">
        <f t="shared" si="33"/>
        <v>4090740.0000000005</v>
      </c>
      <c r="Q75" s="172">
        <f t="shared" si="33"/>
        <v>4581628.8000000007</v>
      </c>
      <c r="R75" s="594"/>
      <c r="S75" s="576"/>
      <c r="T75" s="148"/>
      <c r="U75" s="148"/>
      <c r="V75" s="148"/>
      <c r="W75" s="148"/>
      <c r="X75" s="148"/>
      <c r="Y75" s="148"/>
      <c r="Z75" s="124">
        <f t="shared" si="34"/>
        <v>0</v>
      </c>
      <c r="AA75" s="124">
        <f t="shared" si="34"/>
        <v>0</v>
      </c>
      <c r="AB75" s="148"/>
      <c r="AC75" s="148">
        <v>4090.74</v>
      </c>
      <c r="AD75" s="148">
        <f t="shared" si="25"/>
        <v>4581.6288000000004</v>
      </c>
      <c r="AE75" s="148"/>
      <c r="AF75" s="151">
        <v>4090.74</v>
      </c>
      <c r="AG75" s="148">
        <f t="shared" si="36"/>
        <v>4581.6288000000004</v>
      </c>
      <c r="AH75" s="148"/>
      <c r="AI75" s="147">
        <f t="shared" ref="AI75:AJ98" si="38">AF75-AC75</f>
        <v>0</v>
      </c>
      <c r="AJ75" s="147">
        <f t="shared" si="38"/>
        <v>0</v>
      </c>
      <c r="AK75" s="147"/>
      <c r="AL75" s="152">
        <f t="shared" si="37"/>
        <v>1</v>
      </c>
      <c r="AM75" s="153"/>
      <c r="AN75" s="134">
        <f>AN74</f>
        <v>4091</v>
      </c>
      <c r="AO75" s="153"/>
      <c r="AP75" s="147">
        <f>I75</f>
        <v>4090.74</v>
      </c>
      <c r="AQ75" s="147">
        <f>AP75*1.12</f>
        <v>4581.6288000000004</v>
      </c>
      <c r="AR75" s="147"/>
      <c r="AS75" s="147"/>
      <c r="AT75" s="159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573"/>
      <c r="BH75" s="155"/>
      <c r="BI75" s="155"/>
      <c r="BJ75" s="155"/>
      <c r="BK75" s="155"/>
      <c r="BL75" s="155"/>
      <c r="BM75" s="155"/>
      <c r="BN75" s="155"/>
      <c r="BQ75" s="157"/>
      <c r="BR75" s="158"/>
      <c r="BS75" s="566"/>
    </row>
    <row r="76" spans="1:71" s="169" customFormat="1" outlineLevel="1" x14ac:dyDescent="0.35">
      <c r="A76" s="499"/>
      <c r="B76" s="468"/>
      <c r="C76" s="160" t="s">
        <v>74</v>
      </c>
      <c r="D76" s="160" t="s">
        <v>76</v>
      </c>
      <c r="E76" s="161">
        <f t="shared" si="28"/>
        <v>4090.74</v>
      </c>
      <c r="F76" s="162">
        <f t="shared" si="29"/>
        <v>4581.6288000000004</v>
      </c>
      <c r="G76" s="533"/>
      <c r="H76" s="584"/>
      <c r="I76" s="162">
        <f>I75</f>
        <v>4090.74</v>
      </c>
      <c r="J76" s="162">
        <f t="shared" si="30"/>
        <v>4581.6288000000004</v>
      </c>
      <c r="K76" s="568"/>
      <c r="L76" s="592"/>
      <c r="M76" s="581"/>
      <c r="N76" s="177">
        <f>N75</f>
        <v>4090740.0000000005</v>
      </c>
      <c r="O76" s="177">
        <f>O75</f>
        <v>4581628.8000000007</v>
      </c>
      <c r="P76" s="177">
        <f t="shared" si="33"/>
        <v>4090740.0000000005</v>
      </c>
      <c r="Q76" s="177">
        <f t="shared" si="33"/>
        <v>4581628.8000000007</v>
      </c>
      <c r="R76" s="594"/>
      <c r="S76" s="577"/>
      <c r="T76" s="162"/>
      <c r="U76" s="162"/>
      <c r="V76" s="162"/>
      <c r="W76" s="162"/>
      <c r="X76" s="162"/>
      <c r="Y76" s="162"/>
      <c r="Z76" s="131">
        <f t="shared" si="34"/>
        <v>0</v>
      </c>
      <c r="AA76" s="131">
        <f t="shared" si="34"/>
        <v>0</v>
      </c>
      <c r="AB76" s="162"/>
      <c r="AC76" s="162">
        <f>AC75</f>
        <v>4090.74</v>
      </c>
      <c r="AD76" s="162">
        <f t="shared" si="25"/>
        <v>4581.6288000000004</v>
      </c>
      <c r="AE76" s="162"/>
      <c r="AF76" s="164">
        <f>AF75</f>
        <v>4090.74</v>
      </c>
      <c r="AG76" s="162">
        <f t="shared" si="36"/>
        <v>4581.6288000000004</v>
      </c>
      <c r="AH76" s="162"/>
      <c r="AI76" s="161">
        <f t="shared" si="38"/>
        <v>0</v>
      </c>
      <c r="AJ76" s="161">
        <f t="shared" si="38"/>
        <v>0</v>
      </c>
      <c r="AK76" s="161"/>
      <c r="AL76" s="165">
        <f t="shared" si="37"/>
        <v>1</v>
      </c>
      <c r="AM76" s="166"/>
      <c r="AN76" s="166">
        <f>AF76</f>
        <v>4090.74</v>
      </c>
      <c r="AO76" s="166"/>
      <c r="AP76" s="161">
        <f>AP75</f>
        <v>4090.74</v>
      </c>
      <c r="AQ76" s="161">
        <f>AP76*1.12</f>
        <v>4581.6288000000004</v>
      </c>
      <c r="AR76" s="161"/>
      <c r="AS76" s="161"/>
      <c r="AT76" s="167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574"/>
      <c r="BH76" s="168"/>
      <c r="BI76" s="168"/>
      <c r="BJ76" s="168"/>
      <c r="BK76" s="168"/>
      <c r="BL76" s="168"/>
      <c r="BM76" s="168"/>
      <c r="BN76" s="168"/>
      <c r="BQ76" s="170"/>
      <c r="BR76" s="171"/>
      <c r="BS76" s="567"/>
    </row>
    <row r="77" spans="1:71" s="156" customFormat="1" outlineLevel="1" x14ac:dyDescent="0.35">
      <c r="A77" s="499"/>
      <c r="B77" s="468"/>
      <c r="C77" s="146" t="s">
        <v>72</v>
      </c>
      <c r="D77" s="146" t="s">
        <v>73</v>
      </c>
      <c r="E77" s="147">
        <f t="shared" si="28"/>
        <v>225.72800000000001</v>
      </c>
      <c r="F77" s="148">
        <f t="shared" si="29"/>
        <v>252.81536000000003</v>
      </c>
      <c r="G77" s="533"/>
      <c r="H77" s="575">
        <v>8</v>
      </c>
      <c r="I77" s="148">
        <v>225.72800000000001</v>
      </c>
      <c r="J77" s="148">
        <f t="shared" si="30"/>
        <v>252.81536000000003</v>
      </c>
      <c r="K77" s="181"/>
      <c r="L77" s="545"/>
      <c r="M77" s="579"/>
      <c r="N77" s="172">
        <f>O77/1.12</f>
        <v>0</v>
      </c>
      <c r="O77" s="172"/>
      <c r="P77" s="172">
        <f t="shared" si="33"/>
        <v>0</v>
      </c>
      <c r="Q77" s="172">
        <f t="shared" si="33"/>
        <v>0</v>
      </c>
      <c r="R77" s="575"/>
      <c r="S77" s="575"/>
      <c r="T77" s="148"/>
      <c r="U77" s="148"/>
      <c r="V77" s="148"/>
      <c r="W77" s="148"/>
      <c r="X77" s="148"/>
      <c r="Y77" s="148"/>
      <c r="Z77" s="124">
        <f t="shared" si="34"/>
        <v>0</v>
      </c>
      <c r="AA77" s="124">
        <f t="shared" si="34"/>
        <v>0</v>
      </c>
      <c r="AB77" s="148"/>
      <c r="AC77" s="148">
        <v>225.72800000000001</v>
      </c>
      <c r="AD77" s="148">
        <f t="shared" si="25"/>
        <v>252.81536000000003</v>
      </c>
      <c r="AE77" s="148">
        <v>8</v>
      </c>
      <c r="AF77" s="151"/>
      <c r="AG77" s="159">
        <f t="shared" si="26"/>
        <v>0</v>
      </c>
      <c r="AH77" s="151"/>
      <c r="AI77" s="147">
        <f t="shared" si="38"/>
        <v>-225.72800000000001</v>
      </c>
      <c r="AJ77" s="147">
        <f t="shared" si="38"/>
        <v>-252.81536000000003</v>
      </c>
      <c r="AK77" s="147"/>
      <c r="AL77" s="152">
        <f t="shared" si="37"/>
        <v>0</v>
      </c>
      <c r="AM77" s="153"/>
      <c r="AN77" s="127">
        <f>AF77</f>
        <v>0</v>
      </c>
      <c r="AO77" s="153"/>
      <c r="AP77" s="147"/>
      <c r="AQ77" s="147">
        <f>AP77</f>
        <v>0</v>
      </c>
      <c r="AR77" s="147"/>
      <c r="AS77" s="147"/>
      <c r="AT77" s="154"/>
      <c r="AU77" s="147"/>
      <c r="AV77" s="147">
        <f>AF77-AC77</f>
        <v>-225.72800000000001</v>
      </c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572"/>
      <c r="BH77" s="155"/>
      <c r="BI77" s="155"/>
      <c r="BJ77" s="155"/>
      <c r="BK77" s="155"/>
      <c r="BL77" s="155"/>
      <c r="BM77" s="155"/>
      <c r="BN77" s="155"/>
      <c r="BQ77" s="157"/>
      <c r="BR77" s="158"/>
      <c r="BS77" s="565" t="s">
        <v>89</v>
      </c>
    </row>
    <row r="78" spans="1:71" s="156" customFormat="1" outlineLevel="1" x14ac:dyDescent="0.35">
      <c r="A78" s="499"/>
      <c r="B78" s="468"/>
      <c r="C78" s="146" t="s">
        <v>74</v>
      </c>
      <c r="D78" s="146" t="s">
        <v>75</v>
      </c>
      <c r="E78" s="147">
        <f t="shared" si="28"/>
        <v>225.72800000000001</v>
      </c>
      <c r="F78" s="148">
        <f t="shared" si="29"/>
        <v>252.81536000000003</v>
      </c>
      <c r="G78" s="533"/>
      <c r="H78" s="576"/>
      <c r="I78" s="148">
        <v>225.72800000000001</v>
      </c>
      <c r="J78" s="148">
        <f t="shared" si="30"/>
        <v>252.81536000000003</v>
      </c>
      <c r="K78" s="181"/>
      <c r="L78" s="545"/>
      <c r="M78" s="579"/>
      <c r="N78" s="172">
        <f>N77</f>
        <v>0</v>
      </c>
      <c r="O78" s="172">
        <f>O77</f>
        <v>0</v>
      </c>
      <c r="P78" s="172">
        <f t="shared" si="33"/>
        <v>0</v>
      </c>
      <c r="Q78" s="172">
        <f t="shared" si="33"/>
        <v>0</v>
      </c>
      <c r="R78" s="576"/>
      <c r="S78" s="576"/>
      <c r="T78" s="148"/>
      <c r="U78" s="148"/>
      <c r="V78" s="148"/>
      <c r="W78" s="148"/>
      <c r="X78" s="148"/>
      <c r="Y78" s="148"/>
      <c r="Z78" s="124">
        <f t="shared" si="34"/>
        <v>0</v>
      </c>
      <c r="AA78" s="124">
        <f t="shared" si="34"/>
        <v>0</v>
      </c>
      <c r="AB78" s="148"/>
      <c r="AC78" s="148">
        <v>225.72800000000001</v>
      </c>
      <c r="AD78" s="148">
        <f t="shared" si="25"/>
        <v>252.81536000000003</v>
      </c>
      <c r="AE78" s="148"/>
      <c r="AF78" s="151"/>
      <c r="AG78" s="159">
        <f t="shared" si="26"/>
        <v>0</v>
      </c>
      <c r="AH78" s="151"/>
      <c r="AI78" s="147">
        <f t="shared" si="38"/>
        <v>-225.72800000000001</v>
      </c>
      <c r="AJ78" s="147">
        <f t="shared" si="38"/>
        <v>-252.81536000000003</v>
      </c>
      <c r="AK78" s="147"/>
      <c r="AL78" s="152">
        <f t="shared" si="37"/>
        <v>0</v>
      </c>
      <c r="AM78" s="153"/>
      <c r="AN78" s="134">
        <f>AN77</f>
        <v>0</v>
      </c>
      <c r="AO78" s="153"/>
      <c r="AP78" s="147">
        <f>AP77</f>
        <v>0</v>
      </c>
      <c r="AQ78" s="147">
        <f>AP78*1.12</f>
        <v>0</v>
      </c>
      <c r="AR78" s="147"/>
      <c r="AS78" s="147"/>
      <c r="AT78" s="159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573"/>
      <c r="BH78" s="155"/>
      <c r="BI78" s="155"/>
      <c r="BJ78" s="155"/>
      <c r="BK78" s="155"/>
      <c r="BL78" s="155"/>
      <c r="BM78" s="155"/>
      <c r="BN78" s="155"/>
      <c r="BQ78" s="157"/>
      <c r="BR78" s="158"/>
      <c r="BS78" s="566"/>
    </row>
    <row r="79" spans="1:71" s="169" customFormat="1" outlineLevel="1" x14ac:dyDescent="0.35">
      <c r="A79" s="499"/>
      <c r="B79" s="468"/>
      <c r="C79" s="160" t="s">
        <v>74</v>
      </c>
      <c r="D79" s="160" t="s">
        <v>76</v>
      </c>
      <c r="E79" s="161">
        <f t="shared" si="28"/>
        <v>225.72800000000001</v>
      </c>
      <c r="F79" s="162">
        <f t="shared" si="29"/>
        <v>252.81536000000003</v>
      </c>
      <c r="G79" s="533"/>
      <c r="H79" s="577"/>
      <c r="I79" s="162">
        <f>I78</f>
        <v>225.72800000000001</v>
      </c>
      <c r="J79" s="162">
        <f t="shared" si="30"/>
        <v>252.81536000000003</v>
      </c>
      <c r="K79" s="181"/>
      <c r="L79" s="546"/>
      <c r="M79" s="580"/>
      <c r="N79" s="177">
        <f>N78</f>
        <v>0</v>
      </c>
      <c r="O79" s="177">
        <f>O78</f>
        <v>0</v>
      </c>
      <c r="P79" s="177">
        <f t="shared" si="33"/>
        <v>0</v>
      </c>
      <c r="Q79" s="177">
        <f t="shared" si="33"/>
        <v>0</v>
      </c>
      <c r="R79" s="577"/>
      <c r="S79" s="577"/>
      <c r="T79" s="162"/>
      <c r="U79" s="162"/>
      <c r="V79" s="162"/>
      <c r="W79" s="162"/>
      <c r="X79" s="162"/>
      <c r="Y79" s="162"/>
      <c r="Z79" s="131">
        <f t="shared" si="34"/>
        <v>0</v>
      </c>
      <c r="AA79" s="131">
        <f t="shared" si="34"/>
        <v>0</v>
      </c>
      <c r="AB79" s="162"/>
      <c r="AC79" s="162">
        <f>AC78</f>
        <v>225.72800000000001</v>
      </c>
      <c r="AD79" s="162">
        <f t="shared" si="25"/>
        <v>252.81536000000003</v>
      </c>
      <c r="AE79" s="162"/>
      <c r="AF79" s="164"/>
      <c r="AG79" s="167">
        <f t="shared" si="26"/>
        <v>0</v>
      </c>
      <c r="AH79" s="164"/>
      <c r="AI79" s="161">
        <f t="shared" si="38"/>
        <v>-225.72800000000001</v>
      </c>
      <c r="AJ79" s="161">
        <f t="shared" si="38"/>
        <v>-252.81536000000003</v>
      </c>
      <c r="AK79" s="161"/>
      <c r="AL79" s="165">
        <f t="shared" si="37"/>
        <v>0</v>
      </c>
      <c r="AM79" s="166"/>
      <c r="AN79" s="166">
        <f>AF79</f>
        <v>0</v>
      </c>
      <c r="AO79" s="166"/>
      <c r="AP79" s="161">
        <f>AP78</f>
        <v>0</v>
      </c>
      <c r="AQ79" s="161">
        <f>AP79*1.12</f>
        <v>0</v>
      </c>
      <c r="AR79" s="161"/>
      <c r="AS79" s="161"/>
      <c r="AT79" s="167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574"/>
      <c r="BH79" s="168"/>
      <c r="BI79" s="168"/>
      <c r="BJ79" s="168"/>
      <c r="BK79" s="168"/>
      <c r="BL79" s="168"/>
      <c r="BM79" s="168"/>
      <c r="BN79" s="168"/>
      <c r="BQ79" s="170"/>
      <c r="BR79" s="171"/>
      <c r="BS79" s="567"/>
    </row>
    <row r="80" spans="1:71" s="156" customFormat="1" outlineLevel="1" x14ac:dyDescent="0.35">
      <c r="A80" s="499"/>
      <c r="B80" s="468"/>
      <c r="C80" s="146" t="s">
        <v>72</v>
      </c>
      <c r="D80" s="146" t="s">
        <v>73</v>
      </c>
      <c r="E80" s="147">
        <f t="shared" si="28"/>
        <v>56.432000000000002</v>
      </c>
      <c r="F80" s="148">
        <f t="shared" si="29"/>
        <v>63.203840000000007</v>
      </c>
      <c r="G80" s="533"/>
      <c r="H80" s="575">
        <v>2</v>
      </c>
      <c r="I80" s="148">
        <v>56.432000000000002</v>
      </c>
      <c r="J80" s="148">
        <f t="shared" si="30"/>
        <v>63.203840000000007</v>
      </c>
      <c r="K80" s="181"/>
      <c r="L80" s="544"/>
      <c r="M80" s="578"/>
      <c r="N80" s="172">
        <f>O80/1.12</f>
        <v>0</v>
      </c>
      <c r="O80" s="172"/>
      <c r="P80" s="172">
        <f t="shared" si="33"/>
        <v>0</v>
      </c>
      <c r="Q80" s="172">
        <f t="shared" si="33"/>
        <v>0</v>
      </c>
      <c r="R80" s="575"/>
      <c r="S80" s="575"/>
      <c r="T80" s="148"/>
      <c r="U80" s="148"/>
      <c r="V80" s="148"/>
      <c r="W80" s="148"/>
      <c r="X80" s="148"/>
      <c r="Y80" s="148"/>
      <c r="Z80" s="124">
        <f t="shared" si="34"/>
        <v>0</v>
      </c>
      <c r="AA80" s="124">
        <f t="shared" si="34"/>
        <v>0</v>
      </c>
      <c r="AB80" s="148"/>
      <c r="AC80" s="148">
        <v>56.432000000000002</v>
      </c>
      <c r="AD80" s="148">
        <f t="shared" si="25"/>
        <v>63.203840000000007</v>
      </c>
      <c r="AE80" s="148">
        <v>2</v>
      </c>
      <c r="AF80" s="151"/>
      <c r="AG80" s="159">
        <f t="shared" si="26"/>
        <v>0</v>
      </c>
      <c r="AH80" s="151"/>
      <c r="AI80" s="147">
        <f t="shared" si="38"/>
        <v>-56.432000000000002</v>
      </c>
      <c r="AJ80" s="147">
        <f t="shared" si="38"/>
        <v>-63.203840000000007</v>
      </c>
      <c r="AK80" s="147"/>
      <c r="AL80" s="152">
        <f t="shared" si="37"/>
        <v>0</v>
      </c>
      <c r="AM80" s="153"/>
      <c r="AN80" s="127">
        <f>AF80</f>
        <v>0</v>
      </c>
      <c r="AO80" s="153"/>
      <c r="AP80" s="147"/>
      <c r="AQ80" s="147">
        <f>AP80</f>
        <v>0</v>
      </c>
      <c r="AR80" s="147"/>
      <c r="AS80" s="147"/>
      <c r="AT80" s="154"/>
      <c r="AU80" s="147"/>
      <c r="AV80" s="147">
        <f>AF80-AC80</f>
        <v>-56.432000000000002</v>
      </c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572"/>
      <c r="BH80" s="155"/>
      <c r="BI80" s="155"/>
      <c r="BJ80" s="155"/>
      <c r="BK80" s="155"/>
      <c r="BL80" s="155"/>
      <c r="BM80" s="155"/>
      <c r="BN80" s="155"/>
      <c r="BQ80" s="157"/>
      <c r="BR80" s="158"/>
      <c r="BS80" s="565" t="s">
        <v>93</v>
      </c>
    </row>
    <row r="81" spans="1:71" s="156" customFormat="1" outlineLevel="1" x14ac:dyDescent="0.35">
      <c r="A81" s="499"/>
      <c r="B81" s="468"/>
      <c r="C81" s="146" t="s">
        <v>74</v>
      </c>
      <c r="D81" s="146" t="s">
        <v>75</v>
      </c>
      <c r="E81" s="147">
        <f t="shared" si="28"/>
        <v>56.432000000000002</v>
      </c>
      <c r="F81" s="148">
        <f t="shared" si="29"/>
        <v>63.203840000000007</v>
      </c>
      <c r="G81" s="533"/>
      <c r="H81" s="576"/>
      <c r="I81" s="148">
        <v>56.432000000000002</v>
      </c>
      <c r="J81" s="148">
        <f t="shared" si="30"/>
        <v>63.203840000000007</v>
      </c>
      <c r="K81" s="181"/>
      <c r="L81" s="545"/>
      <c r="M81" s="579"/>
      <c r="N81" s="172">
        <f>N80</f>
        <v>0</v>
      </c>
      <c r="O81" s="172">
        <f>O80</f>
        <v>0</v>
      </c>
      <c r="P81" s="172">
        <f t="shared" si="33"/>
        <v>0</v>
      </c>
      <c r="Q81" s="172">
        <f t="shared" si="33"/>
        <v>0</v>
      </c>
      <c r="R81" s="576"/>
      <c r="S81" s="576"/>
      <c r="T81" s="148"/>
      <c r="U81" s="148"/>
      <c r="V81" s="148"/>
      <c r="W81" s="148"/>
      <c r="X81" s="148"/>
      <c r="Y81" s="148"/>
      <c r="Z81" s="124">
        <f t="shared" si="34"/>
        <v>0</v>
      </c>
      <c r="AA81" s="124">
        <f t="shared" si="34"/>
        <v>0</v>
      </c>
      <c r="AB81" s="148"/>
      <c r="AC81" s="148">
        <v>56.432000000000002</v>
      </c>
      <c r="AD81" s="148">
        <f t="shared" si="25"/>
        <v>63.203840000000007</v>
      </c>
      <c r="AE81" s="148"/>
      <c r="AF81" s="151"/>
      <c r="AG81" s="159">
        <f t="shared" si="26"/>
        <v>0</v>
      </c>
      <c r="AH81" s="151"/>
      <c r="AI81" s="147">
        <f t="shared" si="38"/>
        <v>-56.432000000000002</v>
      </c>
      <c r="AJ81" s="147">
        <f t="shared" si="38"/>
        <v>-63.203840000000007</v>
      </c>
      <c r="AK81" s="147"/>
      <c r="AL81" s="152">
        <f t="shared" si="37"/>
        <v>0</v>
      </c>
      <c r="AM81" s="153"/>
      <c r="AN81" s="134">
        <f>AN80</f>
        <v>0</v>
      </c>
      <c r="AO81" s="153"/>
      <c r="AP81" s="147">
        <f>AP80</f>
        <v>0</v>
      </c>
      <c r="AQ81" s="147">
        <f>AP81*1.12</f>
        <v>0</v>
      </c>
      <c r="AR81" s="147"/>
      <c r="AS81" s="147"/>
      <c r="AT81" s="159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573"/>
      <c r="BH81" s="155"/>
      <c r="BI81" s="155"/>
      <c r="BJ81" s="155"/>
      <c r="BK81" s="155"/>
      <c r="BL81" s="155"/>
      <c r="BM81" s="155"/>
      <c r="BN81" s="155"/>
      <c r="BQ81" s="157"/>
      <c r="BR81" s="158"/>
      <c r="BS81" s="566"/>
    </row>
    <row r="82" spans="1:71" s="169" customFormat="1" outlineLevel="1" x14ac:dyDescent="0.35">
      <c r="A82" s="499"/>
      <c r="B82" s="468"/>
      <c r="C82" s="160" t="s">
        <v>74</v>
      </c>
      <c r="D82" s="160" t="s">
        <v>76</v>
      </c>
      <c r="E82" s="161">
        <f t="shared" si="28"/>
        <v>56.432000000000002</v>
      </c>
      <c r="F82" s="162">
        <f t="shared" si="29"/>
        <v>63.203840000000007</v>
      </c>
      <c r="G82" s="533"/>
      <c r="H82" s="577"/>
      <c r="I82" s="162">
        <f>I81</f>
        <v>56.432000000000002</v>
      </c>
      <c r="J82" s="162">
        <f t="shared" si="30"/>
        <v>63.203840000000007</v>
      </c>
      <c r="K82" s="181"/>
      <c r="L82" s="546"/>
      <c r="M82" s="580"/>
      <c r="N82" s="177">
        <f>N81</f>
        <v>0</v>
      </c>
      <c r="O82" s="177">
        <f>O81</f>
        <v>0</v>
      </c>
      <c r="P82" s="177">
        <f t="shared" si="33"/>
        <v>0</v>
      </c>
      <c r="Q82" s="177">
        <f t="shared" si="33"/>
        <v>0</v>
      </c>
      <c r="R82" s="577"/>
      <c r="S82" s="577"/>
      <c r="T82" s="162"/>
      <c r="U82" s="162"/>
      <c r="V82" s="162"/>
      <c r="W82" s="162"/>
      <c r="X82" s="162"/>
      <c r="Y82" s="162"/>
      <c r="Z82" s="131">
        <f t="shared" si="34"/>
        <v>0</v>
      </c>
      <c r="AA82" s="131">
        <f t="shared" si="34"/>
        <v>0</v>
      </c>
      <c r="AB82" s="162"/>
      <c r="AC82" s="162">
        <f>AC81</f>
        <v>56.432000000000002</v>
      </c>
      <c r="AD82" s="162">
        <f t="shared" si="25"/>
        <v>63.203840000000007</v>
      </c>
      <c r="AE82" s="162"/>
      <c r="AF82" s="164"/>
      <c r="AG82" s="167">
        <f t="shared" si="26"/>
        <v>0</v>
      </c>
      <c r="AH82" s="164"/>
      <c r="AI82" s="161">
        <f t="shared" si="38"/>
        <v>-56.432000000000002</v>
      </c>
      <c r="AJ82" s="161">
        <f t="shared" si="38"/>
        <v>-63.203840000000007</v>
      </c>
      <c r="AK82" s="161"/>
      <c r="AL82" s="165">
        <f t="shared" si="37"/>
        <v>0</v>
      </c>
      <c r="AM82" s="166"/>
      <c r="AN82" s="166">
        <f>AF82</f>
        <v>0</v>
      </c>
      <c r="AO82" s="166"/>
      <c r="AP82" s="161">
        <f>AP81</f>
        <v>0</v>
      </c>
      <c r="AQ82" s="161">
        <f>AP82*1.12</f>
        <v>0</v>
      </c>
      <c r="AR82" s="161"/>
      <c r="AS82" s="161"/>
      <c r="AT82" s="167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574"/>
      <c r="BH82" s="168"/>
      <c r="BI82" s="168"/>
      <c r="BJ82" s="168"/>
      <c r="BK82" s="168"/>
      <c r="BL82" s="168"/>
      <c r="BM82" s="168"/>
      <c r="BN82" s="168"/>
      <c r="BQ82" s="170"/>
      <c r="BR82" s="171"/>
      <c r="BS82" s="567"/>
    </row>
    <row r="83" spans="1:71" s="156" customFormat="1" ht="12" customHeight="1" outlineLevel="1" x14ac:dyDescent="0.35">
      <c r="A83" s="499"/>
      <c r="B83" s="468"/>
      <c r="C83" s="146" t="s">
        <v>72</v>
      </c>
      <c r="D83" s="146" t="s">
        <v>73</v>
      </c>
      <c r="E83" s="147">
        <f t="shared" si="28"/>
        <v>56.432000000000002</v>
      </c>
      <c r="F83" s="148">
        <f t="shared" si="29"/>
        <v>63.203840000000007</v>
      </c>
      <c r="G83" s="533"/>
      <c r="H83" s="575">
        <v>2</v>
      </c>
      <c r="I83" s="148">
        <v>56.432000000000002</v>
      </c>
      <c r="J83" s="148">
        <f t="shared" si="30"/>
        <v>63.203840000000007</v>
      </c>
      <c r="K83" s="181"/>
      <c r="L83" s="544"/>
      <c r="M83" s="578"/>
      <c r="N83" s="172">
        <f>O83/1.12</f>
        <v>0</v>
      </c>
      <c r="O83" s="172"/>
      <c r="P83" s="172">
        <f t="shared" si="33"/>
        <v>0</v>
      </c>
      <c r="Q83" s="172">
        <f t="shared" si="33"/>
        <v>0</v>
      </c>
      <c r="R83" s="575"/>
      <c r="S83" s="575"/>
      <c r="T83" s="148"/>
      <c r="U83" s="148"/>
      <c r="V83" s="148"/>
      <c r="W83" s="148"/>
      <c r="X83" s="148"/>
      <c r="Y83" s="148"/>
      <c r="Z83" s="124">
        <f t="shared" si="34"/>
        <v>0</v>
      </c>
      <c r="AA83" s="124">
        <f t="shared" si="34"/>
        <v>0</v>
      </c>
      <c r="AB83" s="148"/>
      <c r="AC83" s="148">
        <v>56.432000000000002</v>
      </c>
      <c r="AD83" s="148">
        <f t="shared" si="25"/>
        <v>63.203840000000007</v>
      </c>
      <c r="AE83" s="148">
        <v>2</v>
      </c>
      <c r="AF83" s="151"/>
      <c r="AG83" s="159">
        <f t="shared" si="26"/>
        <v>0</v>
      </c>
      <c r="AH83" s="151"/>
      <c r="AI83" s="147">
        <f t="shared" si="38"/>
        <v>-56.432000000000002</v>
      </c>
      <c r="AJ83" s="147">
        <f t="shared" si="38"/>
        <v>-63.203840000000007</v>
      </c>
      <c r="AK83" s="147"/>
      <c r="AL83" s="152">
        <f t="shared" si="37"/>
        <v>0</v>
      </c>
      <c r="AM83" s="153"/>
      <c r="AN83" s="127">
        <f>AF83</f>
        <v>0</v>
      </c>
      <c r="AO83" s="153"/>
      <c r="AP83" s="147"/>
      <c r="AQ83" s="147">
        <f>AP83</f>
        <v>0</v>
      </c>
      <c r="AR83" s="147"/>
      <c r="AS83" s="147"/>
      <c r="AT83" s="154"/>
      <c r="AU83" s="147"/>
      <c r="AV83" s="147">
        <f>AF83-AC83</f>
        <v>-56.432000000000002</v>
      </c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572"/>
      <c r="BH83" s="155"/>
      <c r="BI83" s="155"/>
      <c r="BJ83" s="155"/>
      <c r="BK83" s="155"/>
      <c r="BL83" s="155"/>
      <c r="BM83" s="155"/>
      <c r="BN83" s="155"/>
      <c r="BQ83" s="157"/>
      <c r="BR83" s="158"/>
      <c r="BS83" s="565" t="s">
        <v>94</v>
      </c>
    </row>
    <row r="84" spans="1:71" s="156" customFormat="1" ht="12" customHeight="1" outlineLevel="1" x14ac:dyDescent="0.35">
      <c r="A84" s="499"/>
      <c r="B84" s="468"/>
      <c r="C84" s="146" t="s">
        <v>74</v>
      </c>
      <c r="D84" s="146" t="s">
        <v>75</v>
      </c>
      <c r="E84" s="147">
        <f t="shared" si="28"/>
        <v>56.432000000000002</v>
      </c>
      <c r="F84" s="148">
        <f t="shared" si="29"/>
        <v>63.203840000000007</v>
      </c>
      <c r="G84" s="533"/>
      <c r="H84" s="576"/>
      <c r="I84" s="148">
        <v>56.432000000000002</v>
      </c>
      <c r="J84" s="148">
        <f t="shared" si="30"/>
        <v>63.203840000000007</v>
      </c>
      <c r="K84" s="181"/>
      <c r="L84" s="545"/>
      <c r="M84" s="579"/>
      <c r="N84" s="172">
        <f>N83</f>
        <v>0</v>
      </c>
      <c r="O84" s="172">
        <f>O83</f>
        <v>0</v>
      </c>
      <c r="P84" s="172">
        <f t="shared" si="33"/>
        <v>0</v>
      </c>
      <c r="Q84" s="172">
        <f t="shared" si="33"/>
        <v>0</v>
      </c>
      <c r="R84" s="576"/>
      <c r="S84" s="576"/>
      <c r="T84" s="148"/>
      <c r="U84" s="148"/>
      <c r="V84" s="148"/>
      <c r="W84" s="148"/>
      <c r="X84" s="148"/>
      <c r="Y84" s="148"/>
      <c r="Z84" s="124">
        <f t="shared" si="34"/>
        <v>0</v>
      </c>
      <c r="AA84" s="124">
        <f t="shared" si="34"/>
        <v>0</v>
      </c>
      <c r="AB84" s="148"/>
      <c r="AC84" s="148">
        <v>56.432000000000002</v>
      </c>
      <c r="AD84" s="148">
        <f t="shared" si="25"/>
        <v>63.203840000000007</v>
      </c>
      <c r="AE84" s="148"/>
      <c r="AF84" s="151"/>
      <c r="AG84" s="159">
        <f t="shared" si="26"/>
        <v>0</v>
      </c>
      <c r="AH84" s="151"/>
      <c r="AI84" s="147">
        <f t="shared" si="38"/>
        <v>-56.432000000000002</v>
      </c>
      <c r="AJ84" s="147">
        <f t="shared" si="38"/>
        <v>-63.203840000000007</v>
      </c>
      <c r="AK84" s="147"/>
      <c r="AL84" s="152">
        <f t="shared" si="37"/>
        <v>0</v>
      </c>
      <c r="AM84" s="153"/>
      <c r="AN84" s="134">
        <f>AN83</f>
        <v>0</v>
      </c>
      <c r="AO84" s="153"/>
      <c r="AP84" s="147">
        <f>AP83</f>
        <v>0</v>
      </c>
      <c r="AQ84" s="147">
        <f>AP84*1.12</f>
        <v>0</v>
      </c>
      <c r="AR84" s="147"/>
      <c r="AS84" s="147"/>
      <c r="AT84" s="159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573"/>
      <c r="BH84" s="155"/>
      <c r="BI84" s="155"/>
      <c r="BJ84" s="155"/>
      <c r="BK84" s="155"/>
      <c r="BL84" s="155"/>
      <c r="BM84" s="155"/>
      <c r="BN84" s="155"/>
      <c r="BQ84" s="157"/>
      <c r="BR84" s="158"/>
      <c r="BS84" s="566"/>
    </row>
    <row r="85" spans="1:71" s="169" customFormat="1" ht="12" customHeight="1" outlineLevel="1" x14ac:dyDescent="0.35">
      <c r="A85" s="499"/>
      <c r="B85" s="468"/>
      <c r="C85" s="160" t="s">
        <v>74</v>
      </c>
      <c r="D85" s="160" t="s">
        <v>76</v>
      </c>
      <c r="E85" s="161">
        <f t="shared" si="28"/>
        <v>56.432000000000002</v>
      </c>
      <c r="F85" s="162">
        <f t="shared" si="29"/>
        <v>63.203840000000007</v>
      </c>
      <c r="G85" s="533"/>
      <c r="H85" s="577"/>
      <c r="I85" s="162">
        <f>I84</f>
        <v>56.432000000000002</v>
      </c>
      <c r="J85" s="162">
        <f t="shared" si="30"/>
        <v>63.203840000000007</v>
      </c>
      <c r="K85" s="181"/>
      <c r="L85" s="546"/>
      <c r="M85" s="580"/>
      <c r="N85" s="177">
        <f>N84</f>
        <v>0</v>
      </c>
      <c r="O85" s="177">
        <f>O84</f>
        <v>0</v>
      </c>
      <c r="P85" s="177">
        <f t="shared" si="33"/>
        <v>0</v>
      </c>
      <c r="Q85" s="177">
        <f t="shared" si="33"/>
        <v>0</v>
      </c>
      <c r="R85" s="577"/>
      <c r="S85" s="577"/>
      <c r="T85" s="162"/>
      <c r="U85" s="162"/>
      <c r="V85" s="162"/>
      <c r="W85" s="162"/>
      <c r="X85" s="162"/>
      <c r="Y85" s="162"/>
      <c r="Z85" s="131">
        <f t="shared" si="34"/>
        <v>0</v>
      </c>
      <c r="AA85" s="131">
        <f t="shared" si="34"/>
        <v>0</v>
      </c>
      <c r="AB85" s="162"/>
      <c r="AC85" s="162">
        <f>AC84</f>
        <v>56.432000000000002</v>
      </c>
      <c r="AD85" s="162">
        <f t="shared" si="25"/>
        <v>63.203840000000007</v>
      </c>
      <c r="AE85" s="162"/>
      <c r="AF85" s="164"/>
      <c r="AG85" s="167">
        <f t="shared" si="26"/>
        <v>0</v>
      </c>
      <c r="AH85" s="164"/>
      <c r="AI85" s="161">
        <f t="shared" si="38"/>
        <v>-56.432000000000002</v>
      </c>
      <c r="AJ85" s="161">
        <f t="shared" si="38"/>
        <v>-63.203840000000007</v>
      </c>
      <c r="AK85" s="161"/>
      <c r="AL85" s="165">
        <f t="shared" si="37"/>
        <v>0</v>
      </c>
      <c r="AM85" s="166"/>
      <c r="AN85" s="166">
        <f>AF85</f>
        <v>0</v>
      </c>
      <c r="AO85" s="166"/>
      <c r="AP85" s="161">
        <f>AP84</f>
        <v>0</v>
      </c>
      <c r="AQ85" s="161">
        <f>AP85*1.12</f>
        <v>0</v>
      </c>
      <c r="AR85" s="161"/>
      <c r="AS85" s="161"/>
      <c r="AT85" s="167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574"/>
      <c r="BH85" s="168"/>
      <c r="BI85" s="168"/>
      <c r="BJ85" s="168"/>
      <c r="BK85" s="168"/>
      <c r="BL85" s="168"/>
      <c r="BM85" s="168"/>
      <c r="BN85" s="168"/>
      <c r="BQ85" s="170"/>
      <c r="BR85" s="171"/>
      <c r="BS85" s="567"/>
    </row>
    <row r="86" spans="1:71" s="156" customFormat="1" ht="12" customHeight="1" outlineLevel="1" x14ac:dyDescent="0.35">
      <c r="A86" s="499"/>
      <c r="B86" s="468"/>
      <c r="C86" s="146" t="s">
        <v>72</v>
      </c>
      <c r="D86" s="146" t="s">
        <v>73</v>
      </c>
      <c r="E86" s="147">
        <f t="shared" si="28"/>
        <v>56.432000000000002</v>
      </c>
      <c r="F86" s="148">
        <f t="shared" si="29"/>
        <v>63.203840000000007</v>
      </c>
      <c r="G86" s="533"/>
      <c r="H86" s="575">
        <v>2</v>
      </c>
      <c r="I86" s="148">
        <v>56.432000000000002</v>
      </c>
      <c r="J86" s="148">
        <f t="shared" si="30"/>
        <v>63.203840000000007</v>
      </c>
      <c r="K86" s="181"/>
      <c r="L86" s="544"/>
      <c r="M86" s="578"/>
      <c r="N86" s="172">
        <f>O86/1.12</f>
        <v>0</v>
      </c>
      <c r="O86" s="172"/>
      <c r="P86" s="172">
        <f t="shared" si="33"/>
        <v>0</v>
      </c>
      <c r="Q86" s="172">
        <f t="shared" si="33"/>
        <v>0</v>
      </c>
      <c r="R86" s="575"/>
      <c r="S86" s="575"/>
      <c r="T86" s="148"/>
      <c r="U86" s="148"/>
      <c r="V86" s="148"/>
      <c r="W86" s="148"/>
      <c r="X86" s="148"/>
      <c r="Y86" s="148"/>
      <c r="Z86" s="124">
        <f t="shared" si="34"/>
        <v>0</v>
      </c>
      <c r="AA86" s="124">
        <f t="shared" si="34"/>
        <v>0</v>
      </c>
      <c r="AB86" s="148"/>
      <c r="AC86" s="148">
        <v>56.432000000000002</v>
      </c>
      <c r="AD86" s="148">
        <f t="shared" si="25"/>
        <v>63.203840000000007</v>
      </c>
      <c r="AE86" s="148">
        <v>2</v>
      </c>
      <c r="AF86" s="151"/>
      <c r="AG86" s="159">
        <f t="shared" si="26"/>
        <v>0</v>
      </c>
      <c r="AH86" s="151"/>
      <c r="AI86" s="147">
        <f t="shared" si="38"/>
        <v>-56.432000000000002</v>
      </c>
      <c r="AJ86" s="147">
        <f t="shared" si="38"/>
        <v>-63.203840000000007</v>
      </c>
      <c r="AK86" s="147"/>
      <c r="AL86" s="152">
        <f t="shared" si="37"/>
        <v>0</v>
      </c>
      <c r="AM86" s="153"/>
      <c r="AN86" s="127">
        <f>AF86</f>
        <v>0</v>
      </c>
      <c r="AO86" s="153"/>
      <c r="AP86" s="147"/>
      <c r="AQ86" s="147">
        <f>AP86</f>
        <v>0</v>
      </c>
      <c r="AR86" s="147"/>
      <c r="AS86" s="147"/>
      <c r="AT86" s="154"/>
      <c r="AU86" s="147"/>
      <c r="AV86" s="147">
        <f>AF86-AC86</f>
        <v>-56.432000000000002</v>
      </c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572"/>
      <c r="BH86" s="155"/>
      <c r="BI86" s="155"/>
      <c r="BJ86" s="155"/>
      <c r="BK86" s="155"/>
      <c r="BL86" s="155"/>
      <c r="BM86" s="155"/>
      <c r="BN86" s="155"/>
      <c r="BQ86" s="157"/>
      <c r="BR86" s="158"/>
      <c r="BS86" s="565" t="s">
        <v>96</v>
      </c>
    </row>
    <row r="87" spans="1:71" s="156" customFormat="1" ht="12" customHeight="1" outlineLevel="1" x14ac:dyDescent="0.35">
      <c r="A87" s="499"/>
      <c r="B87" s="468"/>
      <c r="C87" s="146" t="s">
        <v>74</v>
      </c>
      <c r="D87" s="146" t="s">
        <v>75</v>
      </c>
      <c r="E87" s="147">
        <f t="shared" si="28"/>
        <v>56.432000000000002</v>
      </c>
      <c r="F87" s="148">
        <f t="shared" si="29"/>
        <v>63.203840000000007</v>
      </c>
      <c r="G87" s="533"/>
      <c r="H87" s="576"/>
      <c r="I87" s="148">
        <v>56.432000000000002</v>
      </c>
      <c r="J87" s="148">
        <f t="shared" si="30"/>
        <v>63.203840000000007</v>
      </c>
      <c r="K87" s="181"/>
      <c r="L87" s="545"/>
      <c r="M87" s="579"/>
      <c r="N87" s="172">
        <f>N86</f>
        <v>0</v>
      </c>
      <c r="O87" s="172">
        <f>O86</f>
        <v>0</v>
      </c>
      <c r="P87" s="172">
        <f t="shared" si="33"/>
        <v>0</v>
      </c>
      <c r="Q87" s="172">
        <f t="shared" si="33"/>
        <v>0</v>
      </c>
      <c r="R87" s="576"/>
      <c r="S87" s="576"/>
      <c r="T87" s="148"/>
      <c r="U87" s="148"/>
      <c r="V87" s="148"/>
      <c r="W87" s="148"/>
      <c r="X87" s="148"/>
      <c r="Y87" s="148"/>
      <c r="Z87" s="124">
        <f t="shared" si="34"/>
        <v>0</v>
      </c>
      <c r="AA87" s="124">
        <f t="shared" si="34"/>
        <v>0</v>
      </c>
      <c r="AB87" s="148"/>
      <c r="AC87" s="148">
        <v>56.432000000000002</v>
      </c>
      <c r="AD87" s="148">
        <f t="shared" si="25"/>
        <v>63.203840000000007</v>
      </c>
      <c r="AE87" s="148"/>
      <c r="AF87" s="151"/>
      <c r="AG87" s="159">
        <f t="shared" si="26"/>
        <v>0</v>
      </c>
      <c r="AH87" s="151"/>
      <c r="AI87" s="147">
        <f t="shared" si="38"/>
        <v>-56.432000000000002</v>
      </c>
      <c r="AJ87" s="147">
        <f t="shared" si="38"/>
        <v>-63.203840000000007</v>
      </c>
      <c r="AK87" s="147"/>
      <c r="AL87" s="152">
        <f t="shared" si="37"/>
        <v>0</v>
      </c>
      <c r="AM87" s="153"/>
      <c r="AN87" s="134">
        <f>AN86</f>
        <v>0</v>
      </c>
      <c r="AO87" s="153"/>
      <c r="AP87" s="147">
        <f>AP86</f>
        <v>0</v>
      </c>
      <c r="AQ87" s="147">
        <f>AP87*1.12</f>
        <v>0</v>
      </c>
      <c r="AR87" s="147"/>
      <c r="AS87" s="147"/>
      <c r="AT87" s="159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573"/>
      <c r="BH87" s="155"/>
      <c r="BI87" s="155"/>
      <c r="BJ87" s="155"/>
      <c r="BK87" s="155"/>
      <c r="BL87" s="155"/>
      <c r="BM87" s="155"/>
      <c r="BN87" s="155"/>
      <c r="BQ87" s="157"/>
      <c r="BR87" s="158"/>
      <c r="BS87" s="566"/>
    </row>
    <row r="88" spans="1:71" s="169" customFormat="1" ht="12" customHeight="1" outlineLevel="1" x14ac:dyDescent="0.35">
      <c r="A88" s="499"/>
      <c r="B88" s="468"/>
      <c r="C88" s="160" t="s">
        <v>74</v>
      </c>
      <c r="D88" s="160" t="s">
        <v>76</v>
      </c>
      <c r="E88" s="161">
        <f t="shared" si="28"/>
        <v>56.432000000000002</v>
      </c>
      <c r="F88" s="162">
        <f t="shared" si="29"/>
        <v>63.203840000000007</v>
      </c>
      <c r="G88" s="533"/>
      <c r="H88" s="577"/>
      <c r="I88" s="162">
        <f>I87</f>
        <v>56.432000000000002</v>
      </c>
      <c r="J88" s="162">
        <f t="shared" si="30"/>
        <v>63.203840000000007</v>
      </c>
      <c r="K88" s="181"/>
      <c r="L88" s="546"/>
      <c r="M88" s="580"/>
      <c r="N88" s="177">
        <f>N87</f>
        <v>0</v>
      </c>
      <c r="O88" s="177">
        <f>O87</f>
        <v>0</v>
      </c>
      <c r="P88" s="177">
        <f t="shared" si="33"/>
        <v>0</v>
      </c>
      <c r="Q88" s="177">
        <f t="shared" si="33"/>
        <v>0</v>
      </c>
      <c r="R88" s="577"/>
      <c r="S88" s="577"/>
      <c r="T88" s="162"/>
      <c r="U88" s="162"/>
      <c r="V88" s="162"/>
      <c r="W88" s="162"/>
      <c r="X88" s="162"/>
      <c r="Y88" s="162"/>
      <c r="Z88" s="131">
        <f t="shared" si="34"/>
        <v>0</v>
      </c>
      <c r="AA88" s="131">
        <f t="shared" si="34"/>
        <v>0</v>
      </c>
      <c r="AB88" s="162"/>
      <c r="AC88" s="162">
        <f>AC87</f>
        <v>56.432000000000002</v>
      </c>
      <c r="AD88" s="162">
        <f t="shared" si="25"/>
        <v>63.203840000000007</v>
      </c>
      <c r="AE88" s="162"/>
      <c r="AF88" s="164"/>
      <c r="AG88" s="167">
        <f t="shared" si="26"/>
        <v>0</v>
      </c>
      <c r="AH88" s="164"/>
      <c r="AI88" s="161">
        <f t="shared" si="38"/>
        <v>-56.432000000000002</v>
      </c>
      <c r="AJ88" s="161">
        <f t="shared" si="38"/>
        <v>-63.203840000000007</v>
      </c>
      <c r="AK88" s="161"/>
      <c r="AL88" s="165">
        <f t="shared" si="37"/>
        <v>0</v>
      </c>
      <c r="AM88" s="166"/>
      <c r="AN88" s="166">
        <f>AF88</f>
        <v>0</v>
      </c>
      <c r="AO88" s="166"/>
      <c r="AP88" s="161">
        <f>AP87</f>
        <v>0</v>
      </c>
      <c r="AQ88" s="161">
        <f>AP88*1.12</f>
        <v>0</v>
      </c>
      <c r="AR88" s="161"/>
      <c r="AS88" s="161"/>
      <c r="AT88" s="167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574"/>
      <c r="BH88" s="168"/>
      <c r="BI88" s="168"/>
      <c r="BJ88" s="168"/>
      <c r="BK88" s="168"/>
      <c r="BL88" s="168"/>
      <c r="BM88" s="168"/>
      <c r="BN88" s="168"/>
      <c r="BQ88" s="170"/>
      <c r="BR88" s="171"/>
      <c r="BS88" s="567"/>
    </row>
    <row r="89" spans="1:71" s="156" customFormat="1" outlineLevel="1" x14ac:dyDescent="0.35">
      <c r="A89" s="499"/>
      <c r="B89" s="468"/>
      <c r="C89" s="146" t="s">
        <v>72</v>
      </c>
      <c r="D89" s="146" t="s">
        <v>73</v>
      </c>
      <c r="E89" s="147">
        <f t="shared" si="28"/>
        <v>56.432000000000002</v>
      </c>
      <c r="F89" s="148">
        <f t="shared" si="29"/>
        <v>63.203840000000007</v>
      </c>
      <c r="G89" s="533"/>
      <c r="H89" s="575">
        <v>2</v>
      </c>
      <c r="I89" s="148">
        <v>56.432000000000002</v>
      </c>
      <c r="J89" s="148">
        <f t="shared" si="30"/>
        <v>63.203840000000007</v>
      </c>
      <c r="K89" s="181"/>
      <c r="L89" s="544"/>
      <c r="M89" s="578"/>
      <c r="N89" s="172">
        <f>O89/1.12</f>
        <v>0</v>
      </c>
      <c r="O89" s="172"/>
      <c r="P89" s="172">
        <f t="shared" si="33"/>
        <v>0</v>
      </c>
      <c r="Q89" s="172">
        <f t="shared" si="33"/>
        <v>0</v>
      </c>
      <c r="R89" s="575"/>
      <c r="S89" s="575"/>
      <c r="T89" s="148"/>
      <c r="U89" s="148"/>
      <c r="V89" s="148"/>
      <c r="W89" s="148"/>
      <c r="X89" s="148"/>
      <c r="Y89" s="148"/>
      <c r="Z89" s="124">
        <f t="shared" si="34"/>
        <v>0</v>
      </c>
      <c r="AA89" s="124">
        <f t="shared" si="34"/>
        <v>0</v>
      </c>
      <c r="AB89" s="148"/>
      <c r="AC89" s="148">
        <v>56.432000000000002</v>
      </c>
      <c r="AD89" s="148">
        <f t="shared" si="25"/>
        <v>63.203840000000007</v>
      </c>
      <c r="AE89" s="148">
        <v>2</v>
      </c>
      <c r="AF89" s="151"/>
      <c r="AG89" s="159">
        <f t="shared" si="26"/>
        <v>0</v>
      </c>
      <c r="AH89" s="151"/>
      <c r="AI89" s="147">
        <f t="shared" si="38"/>
        <v>-56.432000000000002</v>
      </c>
      <c r="AJ89" s="147">
        <f t="shared" si="38"/>
        <v>-63.203840000000007</v>
      </c>
      <c r="AK89" s="147"/>
      <c r="AL89" s="152">
        <f t="shared" si="37"/>
        <v>0</v>
      </c>
      <c r="AM89" s="153"/>
      <c r="AN89" s="127">
        <f>AF89</f>
        <v>0</v>
      </c>
      <c r="AO89" s="153"/>
      <c r="AP89" s="147"/>
      <c r="AQ89" s="147">
        <f>AP89</f>
        <v>0</v>
      </c>
      <c r="AR89" s="147"/>
      <c r="AS89" s="147"/>
      <c r="AT89" s="154"/>
      <c r="AU89" s="147"/>
      <c r="AV89" s="147">
        <f>AF89-AC89</f>
        <v>-56.432000000000002</v>
      </c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572"/>
      <c r="BH89" s="155"/>
      <c r="BI89" s="155"/>
      <c r="BJ89" s="155"/>
      <c r="BK89" s="155"/>
      <c r="BL89" s="155"/>
      <c r="BM89" s="155"/>
      <c r="BN89" s="155"/>
      <c r="BQ89" s="157"/>
      <c r="BR89" s="158"/>
      <c r="BS89" s="565" t="s">
        <v>97</v>
      </c>
    </row>
    <row r="90" spans="1:71" s="156" customFormat="1" outlineLevel="1" x14ac:dyDescent="0.35">
      <c r="A90" s="499"/>
      <c r="B90" s="468"/>
      <c r="C90" s="146" t="s">
        <v>74</v>
      </c>
      <c r="D90" s="146" t="s">
        <v>75</v>
      </c>
      <c r="E90" s="147">
        <f t="shared" si="28"/>
        <v>56.432000000000002</v>
      </c>
      <c r="F90" s="148">
        <f t="shared" si="29"/>
        <v>63.203840000000007</v>
      </c>
      <c r="G90" s="533"/>
      <c r="H90" s="576"/>
      <c r="I90" s="148">
        <v>56.432000000000002</v>
      </c>
      <c r="J90" s="148">
        <f t="shared" si="30"/>
        <v>63.203840000000007</v>
      </c>
      <c r="K90" s="181"/>
      <c r="L90" s="545"/>
      <c r="M90" s="579"/>
      <c r="N90" s="172">
        <f>N89</f>
        <v>0</v>
      </c>
      <c r="O90" s="172">
        <f>O89</f>
        <v>0</v>
      </c>
      <c r="P90" s="172">
        <f t="shared" si="33"/>
        <v>0</v>
      </c>
      <c r="Q90" s="172">
        <f t="shared" si="33"/>
        <v>0</v>
      </c>
      <c r="R90" s="576"/>
      <c r="S90" s="576"/>
      <c r="T90" s="148"/>
      <c r="U90" s="148"/>
      <c r="V90" s="148"/>
      <c r="W90" s="148"/>
      <c r="X90" s="148"/>
      <c r="Y90" s="148"/>
      <c r="Z90" s="124">
        <f t="shared" si="34"/>
        <v>0</v>
      </c>
      <c r="AA90" s="124">
        <f t="shared" si="34"/>
        <v>0</v>
      </c>
      <c r="AB90" s="148"/>
      <c r="AC90" s="148">
        <v>56.432000000000002</v>
      </c>
      <c r="AD90" s="148">
        <f t="shared" si="25"/>
        <v>63.203840000000007</v>
      </c>
      <c r="AE90" s="148"/>
      <c r="AF90" s="151"/>
      <c r="AG90" s="159">
        <f t="shared" si="26"/>
        <v>0</v>
      </c>
      <c r="AH90" s="151"/>
      <c r="AI90" s="147">
        <f t="shared" si="38"/>
        <v>-56.432000000000002</v>
      </c>
      <c r="AJ90" s="147">
        <f t="shared" si="38"/>
        <v>-63.203840000000007</v>
      </c>
      <c r="AK90" s="147"/>
      <c r="AL90" s="152">
        <f t="shared" si="37"/>
        <v>0</v>
      </c>
      <c r="AM90" s="153"/>
      <c r="AN90" s="134">
        <f>AN89</f>
        <v>0</v>
      </c>
      <c r="AO90" s="153"/>
      <c r="AP90" s="147">
        <f>AP89</f>
        <v>0</v>
      </c>
      <c r="AQ90" s="147">
        <f>AP90*1.12</f>
        <v>0</v>
      </c>
      <c r="AR90" s="147"/>
      <c r="AS90" s="147"/>
      <c r="AT90" s="159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573"/>
      <c r="BH90" s="155"/>
      <c r="BI90" s="155"/>
      <c r="BJ90" s="155"/>
      <c r="BK90" s="155"/>
      <c r="BL90" s="155"/>
      <c r="BM90" s="155"/>
      <c r="BN90" s="155"/>
      <c r="BQ90" s="157"/>
      <c r="BR90" s="158"/>
      <c r="BS90" s="566"/>
    </row>
    <row r="91" spans="1:71" s="169" customFormat="1" outlineLevel="1" x14ac:dyDescent="0.35">
      <c r="A91" s="499"/>
      <c r="B91" s="468"/>
      <c r="C91" s="160" t="s">
        <v>74</v>
      </c>
      <c r="D91" s="160" t="s">
        <v>76</v>
      </c>
      <c r="E91" s="161">
        <f t="shared" si="28"/>
        <v>56.432000000000002</v>
      </c>
      <c r="F91" s="162">
        <f t="shared" si="29"/>
        <v>63.203840000000007</v>
      </c>
      <c r="G91" s="533"/>
      <c r="H91" s="577"/>
      <c r="I91" s="162">
        <f>I90</f>
        <v>56.432000000000002</v>
      </c>
      <c r="J91" s="162">
        <f t="shared" si="30"/>
        <v>63.203840000000007</v>
      </c>
      <c r="K91" s="181"/>
      <c r="L91" s="546"/>
      <c r="M91" s="580"/>
      <c r="N91" s="177">
        <f>N90</f>
        <v>0</v>
      </c>
      <c r="O91" s="177">
        <f>O90</f>
        <v>0</v>
      </c>
      <c r="P91" s="177">
        <f t="shared" si="33"/>
        <v>0</v>
      </c>
      <c r="Q91" s="177">
        <f t="shared" si="33"/>
        <v>0</v>
      </c>
      <c r="R91" s="577"/>
      <c r="S91" s="577"/>
      <c r="T91" s="162"/>
      <c r="U91" s="162"/>
      <c r="V91" s="162"/>
      <c r="W91" s="162"/>
      <c r="X91" s="162"/>
      <c r="Y91" s="162"/>
      <c r="Z91" s="131">
        <f t="shared" si="34"/>
        <v>0</v>
      </c>
      <c r="AA91" s="131">
        <f t="shared" si="34"/>
        <v>0</v>
      </c>
      <c r="AB91" s="162"/>
      <c r="AC91" s="162">
        <f>AC90</f>
        <v>56.432000000000002</v>
      </c>
      <c r="AD91" s="162">
        <f t="shared" si="25"/>
        <v>63.203840000000007</v>
      </c>
      <c r="AE91" s="162"/>
      <c r="AF91" s="164"/>
      <c r="AG91" s="167">
        <f t="shared" si="26"/>
        <v>0</v>
      </c>
      <c r="AH91" s="164"/>
      <c r="AI91" s="161">
        <f t="shared" si="38"/>
        <v>-56.432000000000002</v>
      </c>
      <c r="AJ91" s="161">
        <f t="shared" si="38"/>
        <v>-63.203840000000007</v>
      </c>
      <c r="AK91" s="161"/>
      <c r="AL91" s="165">
        <f t="shared" si="37"/>
        <v>0</v>
      </c>
      <c r="AM91" s="166"/>
      <c r="AN91" s="166">
        <f>AF91</f>
        <v>0</v>
      </c>
      <c r="AO91" s="166"/>
      <c r="AP91" s="161">
        <f>AP90</f>
        <v>0</v>
      </c>
      <c r="AQ91" s="161">
        <f>AP91*1.12</f>
        <v>0</v>
      </c>
      <c r="AR91" s="161"/>
      <c r="AS91" s="161"/>
      <c r="AT91" s="167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574"/>
      <c r="BH91" s="168"/>
      <c r="BI91" s="168"/>
      <c r="BJ91" s="168"/>
      <c r="BK91" s="168"/>
      <c r="BL91" s="168"/>
      <c r="BM91" s="168"/>
      <c r="BN91" s="168"/>
      <c r="BQ91" s="170"/>
      <c r="BR91" s="171"/>
      <c r="BS91" s="567"/>
    </row>
    <row r="92" spans="1:71" s="156" customFormat="1" outlineLevel="1" x14ac:dyDescent="0.35">
      <c r="A92" s="499"/>
      <c r="B92" s="468"/>
      <c r="C92" s="146" t="s">
        <v>72</v>
      </c>
      <c r="D92" s="146" t="s">
        <v>73</v>
      </c>
      <c r="E92" s="147">
        <f t="shared" si="28"/>
        <v>28.216000000000001</v>
      </c>
      <c r="F92" s="148">
        <f t="shared" si="29"/>
        <v>31.601920000000003</v>
      </c>
      <c r="G92" s="533"/>
      <c r="H92" s="575">
        <v>1</v>
      </c>
      <c r="I92" s="148">
        <v>28.216000000000001</v>
      </c>
      <c r="J92" s="148">
        <f t="shared" si="30"/>
        <v>31.601920000000003</v>
      </c>
      <c r="K92" s="181"/>
      <c r="L92" s="544"/>
      <c r="M92" s="578"/>
      <c r="N92" s="172">
        <f>O92/1.12</f>
        <v>0</v>
      </c>
      <c r="O92" s="172"/>
      <c r="P92" s="172">
        <f t="shared" si="33"/>
        <v>0</v>
      </c>
      <c r="Q92" s="172">
        <f t="shared" si="33"/>
        <v>0</v>
      </c>
      <c r="R92" s="575"/>
      <c r="S92" s="575"/>
      <c r="T92" s="148"/>
      <c r="U92" s="148"/>
      <c r="V92" s="148"/>
      <c r="W92" s="148"/>
      <c r="X92" s="148"/>
      <c r="Y92" s="148"/>
      <c r="Z92" s="124">
        <f t="shared" si="34"/>
        <v>0</v>
      </c>
      <c r="AA92" s="124">
        <f t="shared" si="34"/>
        <v>0</v>
      </c>
      <c r="AB92" s="148"/>
      <c r="AC92" s="148">
        <v>28.216000000000001</v>
      </c>
      <c r="AD92" s="148">
        <f t="shared" si="25"/>
        <v>31.601920000000003</v>
      </c>
      <c r="AE92" s="148">
        <v>1</v>
      </c>
      <c r="AF92" s="151"/>
      <c r="AG92" s="159">
        <f t="shared" si="26"/>
        <v>0</v>
      </c>
      <c r="AH92" s="151"/>
      <c r="AI92" s="147">
        <f t="shared" si="38"/>
        <v>-28.216000000000001</v>
      </c>
      <c r="AJ92" s="147">
        <f t="shared" si="38"/>
        <v>-31.601920000000003</v>
      </c>
      <c r="AK92" s="147"/>
      <c r="AL92" s="152">
        <f t="shared" si="37"/>
        <v>0</v>
      </c>
      <c r="AM92" s="153"/>
      <c r="AN92" s="127">
        <f>AF92</f>
        <v>0</v>
      </c>
      <c r="AO92" s="153"/>
      <c r="AP92" s="147"/>
      <c r="AQ92" s="147">
        <f>AP92</f>
        <v>0</v>
      </c>
      <c r="AR92" s="147"/>
      <c r="AS92" s="147"/>
      <c r="AT92" s="154"/>
      <c r="AU92" s="147"/>
      <c r="AV92" s="147">
        <f>AF92-AC92</f>
        <v>-28.216000000000001</v>
      </c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572"/>
      <c r="BH92" s="155"/>
      <c r="BI92" s="155"/>
      <c r="BJ92" s="155"/>
      <c r="BK92" s="155"/>
      <c r="BL92" s="155"/>
      <c r="BM92" s="155"/>
      <c r="BN92" s="155"/>
      <c r="BQ92" s="157"/>
      <c r="BR92" s="158"/>
      <c r="BS92" s="565" t="s">
        <v>100</v>
      </c>
    </row>
    <row r="93" spans="1:71" s="156" customFormat="1" outlineLevel="1" x14ac:dyDescent="0.35">
      <c r="A93" s="499"/>
      <c r="B93" s="468"/>
      <c r="C93" s="146" t="s">
        <v>74</v>
      </c>
      <c r="D93" s="146" t="s">
        <v>75</v>
      </c>
      <c r="E93" s="147">
        <f t="shared" si="28"/>
        <v>28.216000000000001</v>
      </c>
      <c r="F93" s="148">
        <f t="shared" si="29"/>
        <v>31.601920000000003</v>
      </c>
      <c r="G93" s="533"/>
      <c r="H93" s="576"/>
      <c r="I93" s="148">
        <v>28.216000000000001</v>
      </c>
      <c r="J93" s="148">
        <f t="shared" si="30"/>
        <v>31.601920000000003</v>
      </c>
      <c r="K93" s="181"/>
      <c r="L93" s="545"/>
      <c r="M93" s="579"/>
      <c r="N93" s="172">
        <f>N92</f>
        <v>0</v>
      </c>
      <c r="O93" s="172">
        <f>O92</f>
        <v>0</v>
      </c>
      <c r="P93" s="172">
        <f t="shared" si="33"/>
        <v>0</v>
      </c>
      <c r="Q93" s="172">
        <f t="shared" si="33"/>
        <v>0</v>
      </c>
      <c r="R93" s="576"/>
      <c r="S93" s="576"/>
      <c r="T93" s="148"/>
      <c r="U93" s="148"/>
      <c r="V93" s="148"/>
      <c r="W93" s="148"/>
      <c r="X93" s="148"/>
      <c r="Y93" s="148"/>
      <c r="Z93" s="124">
        <f t="shared" si="34"/>
        <v>0</v>
      </c>
      <c r="AA93" s="124">
        <f t="shared" si="34"/>
        <v>0</v>
      </c>
      <c r="AB93" s="148"/>
      <c r="AC93" s="148">
        <v>28.216000000000001</v>
      </c>
      <c r="AD93" s="148">
        <f t="shared" si="25"/>
        <v>31.601920000000003</v>
      </c>
      <c r="AE93" s="148"/>
      <c r="AF93" s="151"/>
      <c r="AG93" s="159">
        <f t="shared" si="26"/>
        <v>0</v>
      </c>
      <c r="AH93" s="151"/>
      <c r="AI93" s="147">
        <f t="shared" si="38"/>
        <v>-28.216000000000001</v>
      </c>
      <c r="AJ93" s="147">
        <f t="shared" si="38"/>
        <v>-31.601920000000003</v>
      </c>
      <c r="AK93" s="147"/>
      <c r="AL93" s="152">
        <f t="shared" si="37"/>
        <v>0</v>
      </c>
      <c r="AM93" s="153"/>
      <c r="AN93" s="134">
        <f>AN92</f>
        <v>0</v>
      </c>
      <c r="AO93" s="153"/>
      <c r="AP93" s="147">
        <f>AP92</f>
        <v>0</v>
      </c>
      <c r="AQ93" s="147">
        <f>AP93*1.12</f>
        <v>0</v>
      </c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573"/>
      <c r="BH93" s="155"/>
      <c r="BI93" s="155"/>
      <c r="BJ93" s="155"/>
      <c r="BK93" s="155"/>
      <c r="BL93" s="155"/>
      <c r="BM93" s="155"/>
      <c r="BN93" s="155"/>
      <c r="BQ93" s="157"/>
      <c r="BR93" s="158"/>
      <c r="BS93" s="566"/>
    </row>
    <row r="94" spans="1:71" s="169" customFormat="1" outlineLevel="1" x14ac:dyDescent="0.35">
      <c r="A94" s="499"/>
      <c r="B94" s="468"/>
      <c r="C94" s="160" t="s">
        <v>74</v>
      </c>
      <c r="D94" s="160" t="s">
        <v>76</v>
      </c>
      <c r="E94" s="161">
        <f t="shared" si="28"/>
        <v>28.216000000000001</v>
      </c>
      <c r="F94" s="162">
        <f t="shared" si="29"/>
        <v>31.601920000000003</v>
      </c>
      <c r="G94" s="533"/>
      <c r="H94" s="577"/>
      <c r="I94" s="162">
        <f>I93</f>
        <v>28.216000000000001</v>
      </c>
      <c r="J94" s="162">
        <f t="shared" si="30"/>
        <v>31.601920000000003</v>
      </c>
      <c r="K94" s="181"/>
      <c r="L94" s="546"/>
      <c r="M94" s="580"/>
      <c r="N94" s="177">
        <f>N93</f>
        <v>0</v>
      </c>
      <c r="O94" s="177">
        <f>O93</f>
        <v>0</v>
      </c>
      <c r="P94" s="177">
        <f t="shared" si="33"/>
        <v>0</v>
      </c>
      <c r="Q94" s="177">
        <f t="shared" si="33"/>
        <v>0</v>
      </c>
      <c r="R94" s="577"/>
      <c r="S94" s="577"/>
      <c r="T94" s="162"/>
      <c r="U94" s="162"/>
      <c r="V94" s="162"/>
      <c r="W94" s="162"/>
      <c r="X94" s="162"/>
      <c r="Y94" s="162"/>
      <c r="Z94" s="131">
        <f t="shared" ref="Z94:AA118" si="39">T94+W94</f>
        <v>0</v>
      </c>
      <c r="AA94" s="131">
        <f t="shared" si="39"/>
        <v>0</v>
      </c>
      <c r="AB94" s="162"/>
      <c r="AC94" s="162">
        <f>AC93</f>
        <v>28.216000000000001</v>
      </c>
      <c r="AD94" s="162">
        <f t="shared" si="25"/>
        <v>31.601920000000003</v>
      </c>
      <c r="AE94" s="162"/>
      <c r="AF94" s="164"/>
      <c r="AG94" s="167">
        <f t="shared" si="26"/>
        <v>0</v>
      </c>
      <c r="AH94" s="164"/>
      <c r="AI94" s="161">
        <f t="shared" si="38"/>
        <v>-28.216000000000001</v>
      </c>
      <c r="AJ94" s="161">
        <f t="shared" si="38"/>
        <v>-31.601920000000003</v>
      </c>
      <c r="AK94" s="161"/>
      <c r="AL94" s="165">
        <f t="shared" si="37"/>
        <v>0</v>
      </c>
      <c r="AM94" s="166"/>
      <c r="AN94" s="166">
        <f>AF94</f>
        <v>0</v>
      </c>
      <c r="AO94" s="166"/>
      <c r="AP94" s="161">
        <f>AP93</f>
        <v>0</v>
      </c>
      <c r="AQ94" s="161">
        <f>AP94*1.12</f>
        <v>0</v>
      </c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574"/>
      <c r="BH94" s="168"/>
      <c r="BI94" s="168"/>
      <c r="BJ94" s="168"/>
      <c r="BK94" s="168"/>
      <c r="BL94" s="168"/>
      <c r="BM94" s="168"/>
      <c r="BN94" s="168"/>
      <c r="BQ94" s="170"/>
      <c r="BR94" s="171"/>
      <c r="BS94" s="567"/>
    </row>
    <row r="95" spans="1:71" s="156" customFormat="1" outlineLevel="1" x14ac:dyDescent="0.35">
      <c r="A95" s="499"/>
      <c r="B95" s="468"/>
      <c r="C95" s="146" t="s">
        <v>72</v>
      </c>
      <c r="D95" s="146" t="s">
        <v>73</v>
      </c>
      <c r="E95" s="147">
        <f t="shared" si="28"/>
        <v>442.6</v>
      </c>
      <c r="F95" s="148">
        <f t="shared" si="29"/>
        <v>495.71200000000005</v>
      </c>
      <c r="G95" s="533"/>
      <c r="H95" s="575">
        <v>2</v>
      </c>
      <c r="I95" s="148">
        <v>442.6</v>
      </c>
      <c r="J95" s="148">
        <f t="shared" si="30"/>
        <v>495.71200000000005</v>
      </c>
      <c r="K95" s="568" t="s">
        <v>101</v>
      </c>
      <c r="L95" s="544" t="s">
        <v>102</v>
      </c>
      <c r="M95" s="578"/>
      <c r="N95" s="172">
        <f>O95/1.12</f>
        <v>438000</v>
      </c>
      <c r="O95" s="172">
        <v>490560.00000000006</v>
      </c>
      <c r="P95" s="172">
        <f t="shared" si="33"/>
        <v>438000</v>
      </c>
      <c r="Q95" s="172">
        <f t="shared" si="33"/>
        <v>490560.00000000006</v>
      </c>
      <c r="R95" s="569" t="s">
        <v>88</v>
      </c>
      <c r="S95" s="575">
        <v>2</v>
      </c>
      <c r="T95" s="148"/>
      <c r="U95" s="148"/>
      <c r="V95" s="148"/>
      <c r="W95" s="148"/>
      <c r="X95" s="148"/>
      <c r="Y95" s="148"/>
      <c r="Z95" s="124">
        <f t="shared" si="39"/>
        <v>0</v>
      </c>
      <c r="AA95" s="124">
        <f t="shared" si="39"/>
        <v>0</v>
      </c>
      <c r="AB95" s="148"/>
      <c r="AC95" s="148">
        <v>442.6</v>
      </c>
      <c r="AD95" s="148">
        <f t="shared" si="25"/>
        <v>495.71200000000005</v>
      </c>
      <c r="AE95" s="148">
        <v>2</v>
      </c>
      <c r="AF95" s="151"/>
      <c r="AG95" s="159">
        <f t="shared" si="26"/>
        <v>0</v>
      </c>
      <c r="AH95" s="151"/>
      <c r="AI95" s="147">
        <f t="shared" si="38"/>
        <v>-442.6</v>
      </c>
      <c r="AJ95" s="147">
        <f t="shared" si="38"/>
        <v>-495.71200000000005</v>
      </c>
      <c r="AK95" s="147"/>
      <c r="AL95" s="152">
        <f t="shared" si="37"/>
        <v>0</v>
      </c>
      <c r="AM95" s="153"/>
      <c r="AN95" s="127">
        <f>AF95</f>
        <v>0</v>
      </c>
      <c r="AO95" s="153"/>
      <c r="AP95" s="147"/>
      <c r="AQ95" s="147">
        <f>AP95</f>
        <v>0</v>
      </c>
      <c r="AR95" s="147"/>
      <c r="AS95" s="147"/>
      <c r="AT95" s="154">
        <f>-AC95+N95/1000</f>
        <v>-4.6000000000000227</v>
      </c>
      <c r="AU95" s="147"/>
      <c r="AV95" s="147"/>
      <c r="AW95" s="147">
        <f>-N95/1000</f>
        <v>-438</v>
      </c>
      <c r="AX95" s="147"/>
      <c r="AY95" s="147"/>
      <c r="AZ95" s="147"/>
      <c r="BA95" s="147"/>
      <c r="BB95" s="147"/>
      <c r="BC95" s="147"/>
      <c r="BD95" s="147"/>
      <c r="BE95" s="147"/>
      <c r="BF95" s="147"/>
      <c r="BG95" s="572"/>
      <c r="BH95" s="155"/>
      <c r="BI95" s="155"/>
      <c r="BJ95" s="155"/>
      <c r="BK95" s="155"/>
      <c r="BL95" s="155"/>
      <c r="BM95" s="155"/>
      <c r="BN95" s="155"/>
      <c r="BQ95" s="157"/>
      <c r="BR95" s="158"/>
      <c r="BS95" s="565" t="s">
        <v>91</v>
      </c>
    </row>
    <row r="96" spans="1:71" s="156" customFormat="1" outlineLevel="1" x14ac:dyDescent="0.35">
      <c r="A96" s="499"/>
      <c r="B96" s="468"/>
      <c r="C96" s="146" t="s">
        <v>74</v>
      </c>
      <c r="D96" s="146" t="s">
        <v>75</v>
      </c>
      <c r="E96" s="147">
        <f t="shared" si="28"/>
        <v>442.6</v>
      </c>
      <c r="F96" s="148">
        <f t="shared" si="29"/>
        <v>495.71200000000005</v>
      </c>
      <c r="G96" s="533"/>
      <c r="H96" s="576"/>
      <c r="I96" s="148">
        <v>442.6</v>
      </c>
      <c r="J96" s="148">
        <f t="shared" si="30"/>
        <v>495.71200000000005</v>
      </c>
      <c r="K96" s="568" t="s">
        <v>101</v>
      </c>
      <c r="L96" s="545" t="s">
        <v>102</v>
      </c>
      <c r="M96" s="579"/>
      <c r="N96" s="172">
        <f>N95</f>
        <v>438000</v>
      </c>
      <c r="O96" s="172">
        <f>O95</f>
        <v>490560.00000000006</v>
      </c>
      <c r="P96" s="172">
        <f t="shared" si="33"/>
        <v>438000</v>
      </c>
      <c r="Q96" s="172">
        <f t="shared" si="33"/>
        <v>490560.00000000006</v>
      </c>
      <c r="R96" s="570" t="s">
        <v>103</v>
      </c>
      <c r="S96" s="576"/>
      <c r="T96" s="148"/>
      <c r="U96" s="148"/>
      <c r="V96" s="148"/>
      <c r="W96" s="148"/>
      <c r="X96" s="148"/>
      <c r="Y96" s="148"/>
      <c r="Z96" s="124">
        <f t="shared" si="39"/>
        <v>0</v>
      </c>
      <c r="AA96" s="124">
        <f t="shared" si="39"/>
        <v>0</v>
      </c>
      <c r="AB96" s="148"/>
      <c r="AC96" s="148">
        <v>442.6</v>
      </c>
      <c r="AD96" s="148">
        <f t="shared" si="25"/>
        <v>495.71200000000005</v>
      </c>
      <c r="AE96" s="148"/>
      <c r="AF96" s="151"/>
      <c r="AG96" s="159">
        <f t="shared" si="26"/>
        <v>0</v>
      </c>
      <c r="AH96" s="151"/>
      <c r="AI96" s="147">
        <f t="shared" si="38"/>
        <v>-442.6</v>
      </c>
      <c r="AJ96" s="147">
        <f t="shared" si="38"/>
        <v>-495.71200000000005</v>
      </c>
      <c r="AK96" s="147"/>
      <c r="AL96" s="152">
        <f t="shared" si="37"/>
        <v>0</v>
      </c>
      <c r="AM96" s="153"/>
      <c r="AN96" s="134">
        <f>AN95</f>
        <v>0</v>
      </c>
      <c r="AO96" s="153"/>
      <c r="AP96" s="147">
        <f>AP95</f>
        <v>0</v>
      </c>
      <c r="AQ96" s="147">
        <f>AP96*1.12</f>
        <v>0</v>
      </c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573"/>
      <c r="BH96" s="155"/>
      <c r="BI96" s="155"/>
      <c r="BJ96" s="155"/>
      <c r="BK96" s="155"/>
      <c r="BL96" s="155"/>
      <c r="BM96" s="155"/>
      <c r="BN96" s="155"/>
      <c r="BQ96" s="157"/>
      <c r="BR96" s="158"/>
      <c r="BS96" s="566"/>
    </row>
    <row r="97" spans="1:71" s="169" customFormat="1" outlineLevel="1" x14ac:dyDescent="0.35">
      <c r="A97" s="499"/>
      <c r="B97" s="468"/>
      <c r="C97" s="160" t="s">
        <v>74</v>
      </c>
      <c r="D97" s="160" t="s">
        <v>76</v>
      </c>
      <c r="E97" s="161">
        <f t="shared" si="28"/>
        <v>442.6</v>
      </c>
      <c r="F97" s="162">
        <f t="shared" si="29"/>
        <v>495.71200000000005</v>
      </c>
      <c r="G97" s="533"/>
      <c r="H97" s="577"/>
      <c r="I97" s="162">
        <f>I96</f>
        <v>442.6</v>
      </c>
      <c r="J97" s="162">
        <f t="shared" si="30"/>
        <v>495.71200000000005</v>
      </c>
      <c r="K97" s="568" t="s">
        <v>101</v>
      </c>
      <c r="L97" s="546" t="s">
        <v>102</v>
      </c>
      <c r="M97" s="580"/>
      <c r="N97" s="177">
        <f>N96</f>
        <v>438000</v>
      </c>
      <c r="O97" s="177">
        <f>O96</f>
        <v>490560.00000000006</v>
      </c>
      <c r="P97" s="177">
        <f t="shared" si="33"/>
        <v>438000</v>
      </c>
      <c r="Q97" s="177">
        <f t="shared" si="33"/>
        <v>490560.00000000006</v>
      </c>
      <c r="R97" s="571" t="s">
        <v>103</v>
      </c>
      <c r="S97" s="577"/>
      <c r="T97" s="162"/>
      <c r="U97" s="162"/>
      <c r="V97" s="162"/>
      <c r="W97" s="162"/>
      <c r="X97" s="162"/>
      <c r="Y97" s="162"/>
      <c r="Z97" s="131">
        <f t="shared" si="39"/>
        <v>0</v>
      </c>
      <c r="AA97" s="131">
        <f t="shared" si="39"/>
        <v>0</v>
      </c>
      <c r="AB97" s="162"/>
      <c r="AC97" s="162">
        <f>AC96</f>
        <v>442.6</v>
      </c>
      <c r="AD97" s="162">
        <f t="shared" si="25"/>
        <v>495.71200000000005</v>
      </c>
      <c r="AE97" s="162"/>
      <c r="AF97" s="164"/>
      <c r="AG97" s="167">
        <f t="shared" si="26"/>
        <v>0</v>
      </c>
      <c r="AH97" s="164"/>
      <c r="AI97" s="161">
        <f t="shared" si="38"/>
        <v>-442.6</v>
      </c>
      <c r="AJ97" s="161">
        <f t="shared" si="38"/>
        <v>-495.71200000000005</v>
      </c>
      <c r="AK97" s="161"/>
      <c r="AL97" s="165">
        <f t="shared" si="37"/>
        <v>0</v>
      </c>
      <c r="AM97" s="166"/>
      <c r="AN97" s="166">
        <f>AF97</f>
        <v>0</v>
      </c>
      <c r="AO97" s="166"/>
      <c r="AP97" s="161">
        <f>AP96</f>
        <v>0</v>
      </c>
      <c r="AQ97" s="161">
        <f>AP97*1.12</f>
        <v>0</v>
      </c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574"/>
      <c r="BH97" s="168"/>
      <c r="BI97" s="168"/>
      <c r="BJ97" s="168"/>
      <c r="BK97" s="168"/>
      <c r="BL97" s="168"/>
      <c r="BM97" s="168"/>
      <c r="BN97" s="168"/>
      <c r="BQ97" s="170"/>
      <c r="BR97" s="171"/>
      <c r="BS97" s="567"/>
    </row>
    <row r="98" spans="1:71" s="156" customFormat="1" outlineLevel="1" x14ac:dyDescent="0.35">
      <c r="A98" s="499"/>
      <c r="B98" s="468"/>
      <c r="C98" s="146" t="s">
        <v>72</v>
      </c>
      <c r="D98" s="146" t="s">
        <v>73</v>
      </c>
      <c r="E98" s="147">
        <f t="shared" si="28"/>
        <v>442.6</v>
      </c>
      <c r="F98" s="148">
        <f t="shared" si="29"/>
        <v>495.71200000000005</v>
      </c>
      <c r="G98" s="533"/>
      <c r="H98" s="575">
        <v>2</v>
      </c>
      <c r="I98" s="148">
        <v>442.6</v>
      </c>
      <c r="J98" s="148">
        <f t="shared" si="30"/>
        <v>495.71200000000005</v>
      </c>
      <c r="K98" s="568" t="s">
        <v>104</v>
      </c>
      <c r="L98" s="544" t="s">
        <v>105</v>
      </c>
      <c r="M98" s="578"/>
      <c r="N98" s="172">
        <f>O98/1.12</f>
        <v>412890</v>
      </c>
      <c r="O98" s="172">
        <v>462436.80000000005</v>
      </c>
      <c r="P98" s="172">
        <f t="shared" si="33"/>
        <v>412890</v>
      </c>
      <c r="Q98" s="172">
        <f t="shared" si="33"/>
        <v>462436.80000000005</v>
      </c>
      <c r="R98" s="569" t="s">
        <v>106</v>
      </c>
      <c r="S98" s="575">
        <v>2</v>
      </c>
      <c r="T98" s="148"/>
      <c r="U98" s="148"/>
      <c r="V98" s="148"/>
      <c r="W98" s="148"/>
      <c r="X98" s="148"/>
      <c r="Y98" s="148"/>
      <c r="Z98" s="124">
        <f t="shared" si="39"/>
        <v>0</v>
      </c>
      <c r="AA98" s="124">
        <f t="shared" si="39"/>
        <v>0</v>
      </c>
      <c r="AB98" s="148"/>
      <c r="AC98" s="148">
        <v>442.6</v>
      </c>
      <c r="AD98" s="148">
        <f t="shared" si="25"/>
        <v>495.71200000000005</v>
      </c>
      <c r="AE98" s="148">
        <v>2</v>
      </c>
      <c r="AF98" s="151"/>
      <c r="AG98" s="159">
        <f t="shared" si="26"/>
        <v>0</v>
      </c>
      <c r="AH98" s="151">
        <v>2</v>
      </c>
      <c r="AI98" s="147">
        <f t="shared" si="38"/>
        <v>-442.6</v>
      </c>
      <c r="AJ98" s="147">
        <f t="shared" si="38"/>
        <v>-495.71200000000005</v>
      </c>
      <c r="AK98" s="147"/>
      <c r="AL98" s="152">
        <f t="shared" si="37"/>
        <v>0</v>
      </c>
      <c r="AM98" s="153"/>
      <c r="AN98" s="127">
        <f>AF98</f>
        <v>0</v>
      </c>
      <c r="AO98" s="153"/>
      <c r="AP98" s="123">
        <f>AF98</f>
        <v>0</v>
      </c>
      <c r="AQ98" s="182">
        <f t="shared" ref="AQ98:AQ103" si="40">AP98</f>
        <v>0</v>
      </c>
      <c r="AR98" s="147"/>
      <c r="AS98" s="147"/>
      <c r="AT98" s="91">
        <f>AF98-AC98</f>
        <v>-442.6</v>
      </c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572"/>
      <c r="BH98" s="155"/>
      <c r="BI98" s="155"/>
      <c r="BJ98" s="155"/>
      <c r="BK98" s="155"/>
      <c r="BL98" s="155"/>
      <c r="BM98" s="155"/>
      <c r="BN98" s="155"/>
      <c r="BQ98" s="157"/>
      <c r="BR98" s="158"/>
      <c r="BS98" s="565" t="s">
        <v>92</v>
      </c>
    </row>
    <row r="99" spans="1:71" s="156" customFormat="1" outlineLevel="1" x14ac:dyDescent="0.35">
      <c r="A99" s="499"/>
      <c r="B99" s="468"/>
      <c r="C99" s="146" t="s">
        <v>74</v>
      </c>
      <c r="D99" s="146" t="s">
        <v>75</v>
      </c>
      <c r="E99" s="147">
        <f t="shared" si="28"/>
        <v>442.6</v>
      </c>
      <c r="F99" s="148">
        <f t="shared" si="29"/>
        <v>495.71200000000005</v>
      </c>
      <c r="G99" s="533"/>
      <c r="H99" s="576"/>
      <c r="I99" s="148">
        <v>442.6</v>
      </c>
      <c r="J99" s="148">
        <f t="shared" si="30"/>
        <v>495.71200000000005</v>
      </c>
      <c r="K99" s="568"/>
      <c r="L99" s="545"/>
      <c r="M99" s="579"/>
      <c r="N99" s="172">
        <f>N98</f>
        <v>412890</v>
      </c>
      <c r="O99" s="172">
        <f>O98</f>
        <v>462436.80000000005</v>
      </c>
      <c r="P99" s="172">
        <f t="shared" si="33"/>
        <v>412890</v>
      </c>
      <c r="Q99" s="172">
        <f t="shared" si="33"/>
        <v>462436.80000000005</v>
      </c>
      <c r="R99" s="570" t="s">
        <v>88</v>
      </c>
      <c r="S99" s="576"/>
      <c r="T99" s="148"/>
      <c r="U99" s="148"/>
      <c r="V99" s="148"/>
      <c r="W99" s="148"/>
      <c r="X99" s="148"/>
      <c r="Y99" s="148"/>
      <c r="Z99" s="124">
        <f t="shared" si="39"/>
        <v>0</v>
      </c>
      <c r="AA99" s="124">
        <f t="shared" si="39"/>
        <v>0</v>
      </c>
      <c r="AB99" s="148"/>
      <c r="AC99" s="148">
        <v>442.6</v>
      </c>
      <c r="AD99" s="148">
        <f t="shared" si="25"/>
        <v>495.71200000000005</v>
      </c>
      <c r="AE99" s="148"/>
      <c r="AF99" s="151"/>
      <c r="AG99" s="159">
        <f t="shared" si="26"/>
        <v>0</v>
      </c>
      <c r="AH99" s="151"/>
      <c r="AI99" s="147">
        <f t="shared" ref="AI99:AJ114" si="41">AF99-AC99</f>
        <v>-442.6</v>
      </c>
      <c r="AJ99" s="147">
        <f t="shared" si="41"/>
        <v>-495.71200000000005</v>
      </c>
      <c r="AK99" s="147"/>
      <c r="AL99" s="152">
        <f t="shared" si="37"/>
        <v>0</v>
      </c>
      <c r="AM99" s="153"/>
      <c r="AN99" s="134">
        <f>AN98</f>
        <v>0</v>
      </c>
      <c r="AO99" s="153"/>
      <c r="AP99" s="123">
        <f>AP98</f>
        <v>0</v>
      </c>
      <c r="AQ99" s="182">
        <f t="shared" si="40"/>
        <v>0</v>
      </c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573"/>
      <c r="BH99" s="155"/>
      <c r="BI99" s="155"/>
      <c r="BJ99" s="155"/>
      <c r="BK99" s="155"/>
      <c r="BL99" s="155"/>
      <c r="BM99" s="155"/>
      <c r="BN99" s="155"/>
      <c r="BQ99" s="157"/>
      <c r="BR99" s="158"/>
      <c r="BS99" s="566"/>
    </row>
    <row r="100" spans="1:71" s="169" customFormat="1" outlineLevel="1" x14ac:dyDescent="0.35">
      <c r="A100" s="499"/>
      <c r="B100" s="468"/>
      <c r="C100" s="160" t="s">
        <v>74</v>
      </c>
      <c r="D100" s="160" t="s">
        <v>76</v>
      </c>
      <c r="E100" s="161">
        <f t="shared" si="28"/>
        <v>442.6</v>
      </c>
      <c r="F100" s="162">
        <f t="shared" si="29"/>
        <v>495.71200000000005</v>
      </c>
      <c r="G100" s="533"/>
      <c r="H100" s="577"/>
      <c r="I100" s="162">
        <f>I99</f>
        <v>442.6</v>
      </c>
      <c r="J100" s="162">
        <f t="shared" si="30"/>
        <v>495.71200000000005</v>
      </c>
      <c r="K100" s="568"/>
      <c r="L100" s="546"/>
      <c r="M100" s="580"/>
      <c r="N100" s="177">
        <f>N99</f>
        <v>412890</v>
      </c>
      <c r="O100" s="177">
        <f>O99</f>
        <v>462436.80000000005</v>
      </c>
      <c r="P100" s="177">
        <f t="shared" si="33"/>
        <v>412890</v>
      </c>
      <c r="Q100" s="177">
        <f t="shared" si="33"/>
        <v>462436.80000000005</v>
      </c>
      <c r="R100" s="571" t="s">
        <v>103</v>
      </c>
      <c r="S100" s="577"/>
      <c r="T100" s="162"/>
      <c r="U100" s="162"/>
      <c r="V100" s="162"/>
      <c r="W100" s="162"/>
      <c r="X100" s="162"/>
      <c r="Y100" s="162"/>
      <c r="Z100" s="131">
        <f t="shared" si="39"/>
        <v>0</v>
      </c>
      <c r="AA100" s="131">
        <f t="shared" si="39"/>
        <v>0</v>
      </c>
      <c r="AB100" s="162"/>
      <c r="AC100" s="162">
        <f>AC99</f>
        <v>442.6</v>
      </c>
      <c r="AD100" s="162">
        <f t="shared" si="25"/>
        <v>495.71200000000005</v>
      </c>
      <c r="AE100" s="162"/>
      <c r="AF100" s="164"/>
      <c r="AG100" s="167">
        <f t="shared" si="26"/>
        <v>0</v>
      </c>
      <c r="AH100" s="164"/>
      <c r="AI100" s="161">
        <f t="shared" si="41"/>
        <v>-442.6</v>
      </c>
      <c r="AJ100" s="161">
        <f t="shared" si="41"/>
        <v>-495.71200000000005</v>
      </c>
      <c r="AK100" s="161"/>
      <c r="AL100" s="165">
        <f t="shared" si="37"/>
        <v>0</v>
      </c>
      <c r="AM100" s="166"/>
      <c r="AN100" s="166">
        <f>AF100</f>
        <v>0</v>
      </c>
      <c r="AO100" s="166"/>
      <c r="AP100" s="130">
        <f>AP99</f>
        <v>0</v>
      </c>
      <c r="AQ100" s="183">
        <f t="shared" si="40"/>
        <v>0</v>
      </c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574"/>
      <c r="BH100" s="168"/>
      <c r="BI100" s="168"/>
      <c r="BJ100" s="168"/>
      <c r="BK100" s="168"/>
      <c r="BL100" s="168"/>
      <c r="BM100" s="168"/>
      <c r="BN100" s="168"/>
      <c r="BQ100" s="170"/>
      <c r="BR100" s="171"/>
      <c r="BS100" s="567"/>
    </row>
    <row r="101" spans="1:71" s="103" customFormat="1" ht="12.75" customHeight="1" outlineLevel="1" x14ac:dyDescent="0.35">
      <c r="A101" s="499"/>
      <c r="B101" s="468"/>
      <c r="C101" s="122" t="s">
        <v>72</v>
      </c>
      <c r="D101" s="122" t="s">
        <v>73</v>
      </c>
      <c r="E101" s="147">
        <f t="shared" si="28"/>
        <v>442.6</v>
      </c>
      <c r="F101" s="148">
        <f t="shared" si="29"/>
        <v>495.71200000000005</v>
      </c>
      <c r="G101" s="533"/>
      <c r="H101" s="496">
        <v>2</v>
      </c>
      <c r="I101" s="148">
        <v>442.6</v>
      </c>
      <c r="J101" s="148">
        <f>I101*1.12</f>
        <v>495.71200000000005</v>
      </c>
      <c r="K101" s="568" t="s">
        <v>107</v>
      </c>
      <c r="L101" s="544" t="s">
        <v>108</v>
      </c>
      <c r="M101" s="521"/>
      <c r="N101" s="139">
        <f>O101/1.12</f>
        <v>320000</v>
      </c>
      <c r="O101" s="125">
        <v>358400.00000000006</v>
      </c>
      <c r="P101" s="139">
        <f>N101</f>
        <v>320000</v>
      </c>
      <c r="Q101" s="139">
        <f>O101</f>
        <v>358400.00000000006</v>
      </c>
      <c r="R101" s="569" t="s">
        <v>103</v>
      </c>
      <c r="S101" s="471">
        <v>2</v>
      </c>
      <c r="T101" s="124"/>
      <c r="U101" s="124"/>
      <c r="V101" s="124"/>
      <c r="W101" s="124"/>
      <c r="X101" s="124"/>
      <c r="Y101" s="124"/>
      <c r="Z101" s="124">
        <f t="shared" si="39"/>
        <v>0</v>
      </c>
      <c r="AA101" s="124">
        <f t="shared" si="39"/>
        <v>0</v>
      </c>
      <c r="AB101" s="124"/>
      <c r="AC101" s="148">
        <v>442.6</v>
      </c>
      <c r="AD101" s="148">
        <f>AC101*1.12</f>
        <v>495.71200000000005</v>
      </c>
      <c r="AE101" s="148">
        <v>2</v>
      </c>
      <c r="AF101" s="151">
        <v>320</v>
      </c>
      <c r="AG101" s="159">
        <f>AF101*1.12</f>
        <v>358.40000000000003</v>
      </c>
      <c r="AH101" s="151">
        <v>2</v>
      </c>
      <c r="AI101" s="185">
        <f t="shared" si="41"/>
        <v>-122.60000000000002</v>
      </c>
      <c r="AJ101" s="185">
        <f t="shared" si="41"/>
        <v>-137.31200000000001</v>
      </c>
      <c r="AK101" s="185"/>
      <c r="AL101" s="186">
        <f>AF101/101</f>
        <v>3.1683168316831685</v>
      </c>
      <c r="AM101" s="127"/>
      <c r="AN101" s="127">
        <f>AF101</f>
        <v>320</v>
      </c>
      <c r="AO101" s="127"/>
      <c r="AP101" s="123">
        <f>AF101</f>
        <v>320</v>
      </c>
      <c r="AQ101" s="182">
        <f t="shared" si="40"/>
        <v>320</v>
      </c>
      <c r="AR101" s="123"/>
      <c r="AS101" s="123"/>
      <c r="AT101" s="91">
        <f>AF101-AC101</f>
        <v>-122.60000000000002</v>
      </c>
      <c r="AU101" s="123"/>
      <c r="AV101" s="123"/>
      <c r="AW101" s="123"/>
      <c r="AX101" s="123"/>
      <c r="AY101" s="123"/>
      <c r="AZ101" s="185"/>
      <c r="BA101" s="123"/>
      <c r="BB101" s="123"/>
      <c r="BC101" s="123"/>
      <c r="BD101" s="123"/>
      <c r="BE101" s="123"/>
      <c r="BF101" s="123"/>
      <c r="BG101" s="524"/>
      <c r="BH101" s="128"/>
      <c r="BI101" s="128"/>
      <c r="BJ101" s="128"/>
      <c r="BK101" s="128"/>
      <c r="BL101" s="128"/>
      <c r="BM101" s="128"/>
      <c r="BN101" s="128"/>
      <c r="BQ101" s="29"/>
      <c r="BR101" s="107"/>
      <c r="BS101" s="565" t="s">
        <v>94</v>
      </c>
    </row>
    <row r="102" spans="1:71" s="103" customFormat="1" outlineLevel="1" x14ac:dyDescent="0.35">
      <c r="A102" s="499"/>
      <c r="B102" s="468"/>
      <c r="C102" s="122" t="s">
        <v>74</v>
      </c>
      <c r="D102" s="122" t="s">
        <v>75</v>
      </c>
      <c r="E102" s="147">
        <f t="shared" si="28"/>
        <v>442.6</v>
      </c>
      <c r="F102" s="148">
        <f t="shared" si="29"/>
        <v>495.71200000000005</v>
      </c>
      <c r="G102" s="533"/>
      <c r="H102" s="497"/>
      <c r="I102" s="148">
        <v>442.6</v>
      </c>
      <c r="J102" s="148">
        <f>I102*1.12</f>
        <v>495.71200000000005</v>
      </c>
      <c r="K102" s="568"/>
      <c r="L102" s="545"/>
      <c r="M102" s="522"/>
      <c r="N102" s="125">
        <f>N101</f>
        <v>320000</v>
      </c>
      <c r="O102" s="125">
        <f>O101</f>
        <v>358400.00000000006</v>
      </c>
      <c r="P102" s="125">
        <f t="shared" si="33"/>
        <v>320000</v>
      </c>
      <c r="Q102" s="125">
        <f t="shared" si="33"/>
        <v>358400.00000000006</v>
      </c>
      <c r="R102" s="570" t="s">
        <v>106</v>
      </c>
      <c r="S102" s="472"/>
      <c r="T102" s="124"/>
      <c r="U102" s="124"/>
      <c r="V102" s="124"/>
      <c r="W102" s="124"/>
      <c r="X102" s="124"/>
      <c r="Y102" s="124"/>
      <c r="Z102" s="124">
        <f t="shared" si="39"/>
        <v>0</v>
      </c>
      <c r="AA102" s="124">
        <f t="shared" si="39"/>
        <v>0</v>
      </c>
      <c r="AB102" s="124"/>
      <c r="AC102" s="148">
        <v>442.6</v>
      </c>
      <c r="AD102" s="148">
        <f>AC102*1.12</f>
        <v>495.71200000000005</v>
      </c>
      <c r="AE102" s="148"/>
      <c r="AF102" s="151">
        <v>320</v>
      </c>
      <c r="AG102" s="159">
        <f>AF102*1.12</f>
        <v>358.40000000000003</v>
      </c>
      <c r="AH102" s="151"/>
      <c r="AI102" s="185">
        <f t="shared" si="41"/>
        <v>-122.60000000000002</v>
      </c>
      <c r="AJ102" s="185">
        <f t="shared" si="41"/>
        <v>-137.31200000000001</v>
      </c>
      <c r="AK102" s="185"/>
      <c r="AL102" s="186">
        <f>AF102/101</f>
        <v>3.1683168316831685</v>
      </c>
      <c r="AM102" s="127"/>
      <c r="AN102" s="134">
        <f>AN101</f>
        <v>320</v>
      </c>
      <c r="AO102" s="127"/>
      <c r="AP102" s="123">
        <f>AP101</f>
        <v>320</v>
      </c>
      <c r="AQ102" s="182">
        <f t="shared" si="40"/>
        <v>320</v>
      </c>
      <c r="AR102" s="123"/>
      <c r="AS102" s="123"/>
      <c r="AT102" s="147"/>
      <c r="AU102" s="123"/>
      <c r="AV102" s="123"/>
      <c r="AW102" s="123"/>
      <c r="AX102" s="123"/>
      <c r="AY102" s="123"/>
      <c r="AZ102" s="185"/>
      <c r="BA102" s="123"/>
      <c r="BB102" s="123"/>
      <c r="BC102" s="123"/>
      <c r="BD102" s="123"/>
      <c r="BE102" s="123"/>
      <c r="BF102" s="123"/>
      <c r="BG102" s="525"/>
      <c r="BH102" s="128"/>
      <c r="BI102" s="128"/>
      <c r="BJ102" s="128"/>
      <c r="BK102" s="128"/>
      <c r="BL102" s="128"/>
      <c r="BM102" s="128"/>
      <c r="BN102" s="128"/>
      <c r="BQ102" s="29"/>
      <c r="BR102" s="107"/>
      <c r="BS102" s="566"/>
    </row>
    <row r="103" spans="1:71" outlineLevel="1" x14ac:dyDescent="0.35">
      <c r="A103" s="499"/>
      <c r="B103" s="468"/>
      <c r="C103" s="129" t="s">
        <v>74</v>
      </c>
      <c r="D103" s="129" t="s">
        <v>76</v>
      </c>
      <c r="E103" s="161">
        <f t="shared" si="28"/>
        <v>442.6</v>
      </c>
      <c r="F103" s="162">
        <f t="shared" si="29"/>
        <v>495.71200000000005</v>
      </c>
      <c r="G103" s="533"/>
      <c r="H103" s="498"/>
      <c r="I103" s="162">
        <f>I102</f>
        <v>442.6</v>
      </c>
      <c r="J103" s="162">
        <f>J102</f>
        <v>495.71200000000005</v>
      </c>
      <c r="K103" s="568"/>
      <c r="L103" s="546"/>
      <c r="M103" s="523"/>
      <c r="N103" s="132">
        <f>N102</f>
        <v>320000</v>
      </c>
      <c r="O103" s="132">
        <f>O102</f>
        <v>358400.00000000006</v>
      </c>
      <c r="P103" s="132">
        <f t="shared" si="33"/>
        <v>320000</v>
      </c>
      <c r="Q103" s="132">
        <f t="shared" si="33"/>
        <v>358400.00000000006</v>
      </c>
      <c r="R103" s="571" t="s">
        <v>88</v>
      </c>
      <c r="S103" s="473"/>
      <c r="T103" s="131"/>
      <c r="U103" s="131"/>
      <c r="V103" s="131"/>
      <c r="W103" s="131"/>
      <c r="X103" s="131"/>
      <c r="Y103" s="131"/>
      <c r="Z103" s="131">
        <f t="shared" si="39"/>
        <v>0</v>
      </c>
      <c r="AA103" s="131">
        <f t="shared" si="39"/>
        <v>0</v>
      </c>
      <c r="AB103" s="131"/>
      <c r="AC103" s="162">
        <f>AC102</f>
        <v>442.6</v>
      </c>
      <c r="AD103" s="162">
        <f>AD102</f>
        <v>495.71200000000005</v>
      </c>
      <c r="AE103" s="162"/>
      <c r="AF103" s="164">
        <f>AF102</f>
        <v>320</v>
      </c>
      <c r="AG103" s="167">
        <f>AG102</f>
        <v>358.40000000000003</v>
      </c>
      <c r="AH103" s="164"/>
      <c r="AI103" s="187">
        <f t="shared" si="41"/>
        <v>-122.60000000000002</v>
      </c>
      <c r="AJ103" s="187">
        <f t="shared" si="41"/>
        <v>-137.31200000000001</v>
      </c>
      <c r="AK103" s="187"/>
      <c r="AL103" s="188">
        <f>AF103/101</f>
        <v>3.1683168316831685</v>
      </c>
      <c r="AM103" s="134"/>
      <c r="AN103" s="166">
        <f>AF103</f>
        <v>320</v>
      </c>
      <c r="AO103" s="134"/>
      <c r="AP103" s="130">
        <f>AP102</f>
        <v>320</v>
      </c>
      <c r="AQ103" s="183">
        <f t="shared" si="40"/>
        <v>320</v>
      </c>
      <c r="AR103" s="130"/>
      <c r="AS103" s="130"/>
      <c r="AT103" s="161"/>
      <c r="AU103" s="130"/>
      <c r="AV103" s="130"/>
      <c r="AW103" s="130"/>
      <c r="AX103" s="130"/>
      <c r="AY103" s="130"/>
      <c r="AZ103" s="187"/>
      <c r="BA103" s="130"/>
      <c r="BB103" s="130"/>
      <c r="BC103" s="130"/>
      <c r="BD103" s="130"/>
      <c r="BE103" s="130"/>
      <c r="BF103" s="130"/>
      <c r="BG103" s="526"/>
      <c r="BH103" s="135"/>
      <c r="BI103" s="135"/>
      <c r="BJ103" s="135"/>
      <c r="BK103" s="135"/>
      <c r="BL103" s="135"/>
      <c r="BM103" s="135"/>
      <c r="BN103" s="135"/>
      <c r="BQ103" s="27"/>
      <c r="BR103" s="28"/>
      <c r="BS103" s="567"/>
    </row>
    <row r="104" spans="1:71" s="103" customFormat="1" ht="12.75" customHeight="1" outlineLevel="1" x14ac:dyDescent="0.35">
      <c r="A104" s="499"/>
      <c r="B104" s="468"/>
      <c r="C104" s="122" t="s">
        <v>72</v>
      </c>
      <c r="D104" s="122" t="s">
        <v>73</v>
      </c>
      <c r="E104" s="147">
        <f t="shared" si="28"/>
        <v>221.3</v>
      </c>
      <c r="F104" s="148">
        <f t="shared" si="29"/>
        <v>247.85600000000002</v>
      </c>
      <c r="G104" s="533"/>
      <c r="H104" s="496">
        <v>1</v>
      </c>
      <c r="I104" s="148">
        <v>221.3</v>
      </c>
      <c r="J104" s="148">
        <f>I104*1.12</f>
        <v>247.85600000000002</v>
      </c>
      <c r="K104" s="568" t="s">
        <v>109</v>
      </c>
      <c r="L104" s="544" t="s">
        <v>110</v>
      </c>
      <c r="M104" s="521"/>
      <c r="N104" s="125">
        <f>O104/1.12</f>
        <v>210000</v>
      </c>
      <c r="O104" s="125">
        <v>235200.00000000003</v>
      </c>
      <c r="P104" s="125">
        <f t="shared" si="33"/>
        <v>210000</v>
      </c>
      <c r="Q104" s="125">
        <f t="shared" si="33"/>
        <v>235200.00000000003</v>
      </c>
      <c r="R104" s="569" t="s">
        <v>103</v>
      </c>
      <c r="S104" s="471">
        <v>1</v>
      </c>
      <c r="T104" s="124"/>
      <c r="U104" s="124"/>
      <c r="V104" s="124"/>
      <c r="W104" s="124"/>
      <c r="X104" s="124"/>
      <c r="Y104" s="124"/>
      <c r="Z104" s="124">
        <f t="shared" si="39"/>
        <v>0</v>
      </c>
      <c r="AA104" s="124">
        <f t="shared" si="39"/>
        <v>0</v>
      </c>
      <c r="AB104" s="124"/>
      <c r="AC104" s="148">
        <v>221.3</v>
      </c>
      <c r="AD104" s="148">
        <f>AC104*1.12</f>
        <v>247.85600000000002</v>
      </c>
      <c r="AE104" s="148">
        <v>1</v>
      </c>
      <c r="AF104" s="151"/>
      <c r="AG104" s="159">
        <f t="shared" ref="AG104:AG115" si="42">AF104*1.12</f>
        <v>0</v>
      </c>
      <c r="AH104" s="151">
        <v>1</v>
      </c>
      <c r="AI104" s="185">
        <f t="shared" si="41"/>
        <v>-221.3</v>
      </c>
      <c r="AJ104" s="185">
        <f t="shared" si="41"/>
        <v>-247.85600000000002</v>
      </c>
      <c r="AK104" s="185"/>
      <c r="AL104" s="186">
        <f>AF104/34</f>
        <v>0</v>
      </c>
      <c r="AM104" s="127"/>
      <c r="AN104" s="127">
        <f>AF104</f>
        <v>0</v>
      </c>
      <c r="AO104" s="127"/>
      <c r="AP104" s="123">
        <f>AF104</f>
        <v>0</v>
      </c>
      <c r="AQ104" s="123">
        <f t="shared" ref="AQ104:AQ115" si="43">AP104*1.12</f>
        <v>0</v>
      </c>
      <c r="AR104" s="123"/>
      <c r="AS104" s="123"/>
      <c r="AT104" s="91">
        <f>AF104-AC104</f>
        <v>-221.3</v>
      </c>
      <c r="AU104" s="123"/>
      <c r="AV104" s="123"/>
      <c r="AW104" s="123"/>
      <c r="AX104" s="123"/>
      <c r="AY104" s="123"/>
      <c r="AZ104" s="185"/>
      <c r="BA104" s="123"/>
      <c r="BB104" s="123"/>
      <c r="BC104" s="123"/>
      <c r="BD104" s="123"/>
      <c r="BE104" s="123"/>
      <c r="BF104" s="123"/>
      <c r="BG104" s="524"/>
      <c r="BH104" s="128"/>
      <c r="BI104" s="128"/>
      <c r="BJ104" s="128"/>
      <c r="BK104" s="128"/>
      <c r="BL104" s="128"/>
      <c r="BM104" s="128"/>
      <c r="BN104" s="128"/>
      <c r="BQ104" s="29"/>
      <c r="BR104" s="107"/>
      <c r="BS104" s="565" t="s">
        <v>96</v>
      </c>
    </row>
    <row r="105" spans="1:71" s="103" customFormat="1" outlineLevel="1" x14ac:dyDescent="0.35">
      <c r="A105" s="499"/>
      <c r="B105" s="468"/>
      <c r="C105" s="122" t="s">
        <v>74</v>
      </c>
      <c r="D105" s="122" t="s">
        <v>75</v>
      </c>
      <c r="E105" s="147">
        <f>I105</f>
        <v>221.3</v>
      </c>
      <c r="F105" s="148">
        <f>E105*1.12</f>
        <v>247.85600000000002</v>
      </c>
      <c r="G105" s="533"/>
      <c r="H105" s="497"/>
      <c r="I105" s="148">
        <v>221.3</v>
      </c>
      <c r="J105" s="148">
        <f>I105*1.12</f>
        <v>247.85600000000002</v>
      </c>
      <c r="K105" s="568"/>
      <c r="L105" s="545"/>
      <c r="M105" s="522"/>
      <c r="N105" s="125">
        <f>N104</f>
        <v>210000</v>
      </c>
      <c r="O105" s="125">
        <f>O104</f>
        <v>235200.00000000003</v>
      </c>
      <c r="P105" s="125">
        <f t="shared" si="33"/>
        <v>210000</v>
      </c>
      <c r="Q105" s="125">
        <f t="shared" si="33"/>
        <v>235200.00000000003</v>
      </c>
      <c r="R105" s="570" t="s">
        <v>103</v>
      </c>
      <c r="S105" s="472"/>
      <c r="T105" s="124"/>
      <c r="U105" s="124"/>
      <c r="V105" s="124"/>
      <c r="W105" s="124"/>
      <c r="X105" s="124"/>
      <c r="Y105" s="124"/>
      <c r="Z105" s="124">
        <f t="shared" si="39"/>
        <v>0</v>
      </c>
      <c r="AA105" s="124">
        <f t="shared" si="39"/>
        <v>0</v>
      </c>
      <c r="AB105" s="124"/>
      <c r="AC105" s="148">
        <v>221.3</v>
      </c>
      <c r="AD105" s="148">
        <f>AC105*1.12</f>
        <v>247.85600000000002</v>
      </c>
      <c r="AE105" s="148"/>
      <c r="AF105" s="151"/>
      <c r="AG105" s="159">
        <f t="shared" si="42"/>
        <v>0</v>
      </c>
      <c r="AH105" s="151"/>
      <c r="AI105" s="185">
        <f t="shared" si="41"/>
        <v>-221.3</v>
      </c>
      <c r="AJ105" s="185">
        <f t="shared" si="41"/>
        <v>-247.85600000000002</v>
      </c>
      <c r="AK105" s="185"/>
      <c r="AL105" s="186">
        <f>AF105/33.898</f>
        <v>0</v>
      </c>
      <c r="AM105" s="127"/>
      <c r="AN105" s="134">
        <f>AN104</f>
        <v>0</v>
      </c>
      <c r="AO105" s="127"/>
      <c r="AP105" s="123">
        <f>AP104</f>
        <v>0</v>
      </c>
      <c r="AQ105" s="123">
        <f t="shared" si="43"/>
        <v>0</v>
      </c>
      <c r="AR105" s="123"/>
      <c r="AS105" s="123"/>
      <c r="AT105" s="147"/>
      <c r="AU105" s="123"/>
      <c r="AV105" s="123"/>
      <c r="AW105" s="123"/>
      <c r="AX105" s="123"/>
      <c r="AY105" s="123"/>
      <c r="AZ105" s="185"/>
      <c r="BA105" s="123"/>
      <c r="BB105" s="123"/>
      <c r="BC105" s="123"/>
      <c r="BD105" s="123"/>
      <c r="BE105" s="123"/>
      <c r="BF105" s="123"/>
      <c r="BG105" s="525"/>
      <c r="BH105" s="128"/>
      <c r="BI105" s="128"/>
      <c r="BJ105" s="128"/>
      <c r="BK105" s="128"/>
      <c r="BL105" s="128"/>
      <c r="BM105" s="128"/>
      <c r="BN105" s="128"/>
      <c r="BQ105" s="29"/>
      <c r="BR105" s="107"/>
      <c r="BS105" s="566"/>
    </row>
    <row r="106" spans="1:71" outlineLevel="1" x14ac:dyDescent="0.35">
      <c r="A106" s="499"/>
      <c r="B106" s="468"/>
      <c r="C106" s="129" t="s">
        <v>74</v>
      </c>
      <c r="D106" s="129" t="s">
        <v>76</v>
      </c>
      <c r="E106" s="161">
        <f>I106</f>
        <v>221.3</v>
      </c>
      <c r="F106" s="162">
        <f>E106*1.12</f>
        <v>247.85600000000002</v>
      </c>
      <c r="G106" s="533"/>
      <c r="H106" s="498"/>
      <c r="I106" s="162">
        <f>I105</f>
        <v>221.3</v>
      </c>
      <c r="J106" s="162">
        <f>J105</f>
        <v>247.85600000000002</v>
      </c>
      <c r="K106" s="568"/>
      <c r="L106" s="546"/>
      <c r="M106" s="523"/>
      <c r="N106" s="132">
        <f>N105</f>
        <v>210000</v>
      </c>
      <c r="O106" s="132">
        <f>O105</f>
        <v>235200.00000000003</v>
      </c>
      <c r="P106" s="132">
        <f t="shared" si="33"/>
        <v>210000</v>
      </c>
      <c r="Q106" s="132">
        <f t="shared" si="33"/>
        <v>235200.00000000003</v>
      </c>
      <c r="R106" s="571" t="s">
        <v>106</v>
      </c>
      <c r="S106" s="473"/>
      <c r="T106" s="131"/>
      <c r="U106" s="131"/>
      <c r="V106" s="131"/>
      <c r="W106" s="131"/>
      <c r="X106" s="131"/>
      <c r="Y106" s="131"/>
      <c r="Z106" s="131">
        <f t="shared" si="39"/>
        <v>0</v>
      </c>
      <c r="AA106" s="131">
        <f t="shared" si="39"/>
        <v>0</v>
      </c>
      <c r="AB106" s="131"/>
      <c r="AC106" s="162">
        <f>AC105</f>
        <v>221.3</v>
      </c>
      <c r="AD106" s="162">
        <f>AD105</f>
        <v>247.85600000000002</v>
      </c>
      <c r="AE106" s="162"/>
      <c r="AF106" s="164"/>
      <c r="AG106" s="167">
        <f t="shared" si="42"/>
        <v>0</v>
      </c>
      <c r="AH106" s="164"/>
      <c r="AI106" s="187">
        <f t="shared" si="41"/>
        <v>-221.3</v>
      </c>
      <c r="AJ106" s="187">
        <f t="shared" si="41"/>
        <v>-247.85600000000002</v>
      </c>
      <c r="AK106" s="187"/>
      <c r="AL106" s="188">
        <f>AF106/34</f>
        <v>0</v>
      </c>
      <c r="AM106" s="134"/>
      <c r="AN106" s="166">
        <f>AF106</f>
        <v>0</v>
      </c>
      <c r="AO106" s="134"/>
      <c r="AP106" s="130">
        <f>AP105</f>
        <v>0</v>
      </c>
      <c r="AQ106" s="130">
        <f t="shared" si="43"/>
        <v>0</v>
      </c>
      <c r="AR106" s="130"/>
      <c r="AS106" s="130"/>
      <c r="AT106" s="161"/>
      <c r="AU106" s="130"/>
      <c r="AV106" s="130"/>
      <c r="AW106" s="130"/>
      <c r="AX106" s="130"/>
      <c r="AY106" s="130"/>
      <c r="AZ106" s="187"/>
      <c r="BA106" s="130"/>
      <c r="BB106" s="130"/>
      <c r="BC106" s="130"/>
      <c r="BD106" s="130"/>
      <c r="BE106" s="130"/>
      <c r="BF106" s="130"/>
      <c r="BG106" s="526"/>
      <c r="BH106" s="135"/>
      <c r="BI106" s="135"/>
      <c r="BJ106" s="135"/>
      <c r="BK106" s="135"/>
      <c r="BL106" s="135"/>
      <c r="BM106" s="135"/>
      <c r="BN106" s="135"/>
      <c r="BQ106" s="27"/>
      <c r="BR106" s="28"/>
      <c r="BS106" s="567"/>
    </row>
    <row r="107" spans="1:71" s="103" customFormat="1" hidden="1" outlineLevel="1" x14ac:dyDescent="0.35">
      <c r="A107" s="499"/>
      <c r="B107" s="468"/>
      <c r="C107" s="122" t="s">
        <v>72</v>
      </c>
      <c r="D107" s="122" t="s">
        <v>73</v>
      </c>
      <c r="E107" s="147"/>
      <c r="F107" s="148"/>
      <c r="G107" s="533"/>
      <c r="H107" s="123"/>
      <c r="I107" s="124"/>
      <c r="J107" s="124"/>
      <c r="K107" s="535"/>
      <c r="L107" s="436"/>
      <c r="M107" s="521"/>
      <c r="N107" s="125">
        <f>O107/1.12</f>
        <v>0</v>
      </c>
      <c r="O107" s="125"/>
      <c r="P107" s="125">
        <f t="shared" si="33"/>
        <v>0</v>
      </c>
      <c r="Q107" s="125">
        <f t="shared" si="33"/>
        <v>0</v>
      </c>
      <c r="R107" s="524"/>
      <c r="S107" s="471"/>
      <c r="T107" s="124"/>
      <c r="U107" s="124"/>
      <c r="V107" s="124"/>
      <c r="W107" s="124"/>
      <c r="X107" s="124"/>
      <c r="Y107" s="124"/>
      <c r="Z107" s="124">
        <f t="shared" si="39"/>
        <v>0</v>
      </c>
      <c r="AA107" s="124">
        <f t="shared" si="39"/>
        <v>0</v>
      </c>
      <c r="AB107" s="124"/>
      <c r="AC107" s="124"/>
      <c r="AD107" s="124">
        <f t="shared" si="25"/>
        <v>0</v>
      </c>
      <c r="AE107" s="124"/>
      <c r="AF107" s="93"/>
      <c r="AG107" s="123">
        <f t="shared" si="42"/>
        <v>0</v>
      </c>
      <c r="AH107" s="124"/>
      <c r="AI107" s="185">
        <f t="shared" si="41"/>
        <v>0</v>
      </c>
      <c r="AJ107" s="185">
        <f t="shared" si="41"/>
        <v>0</v>
      </c>
      <c r="AK107" s="123"/>
      <c r="AL107" s="186">
        <f>AF107/34</f>
        <v>0</v>
      </c>
      <c r="AM107" s="127"/>
      <c r="AN107" s="127"/>
      <c r="AO107" s="127"/>
      <c r="AP107" s="123">
        <f>AF107</f>
        <v>0</v>
      </c>
      <c r="AQ107" s="123">
        <f t="shared" si="43"/>
        <v>0</v>
      </c>
      <c r="AR107" s="123"/>
      <c r="AS107" s="123"/>
      <c r="AT107" s="123"/>
      <c r="AU107" s="123"/>
      <c r="AV107" s="123"/>
      <c r="AW107" s="123"/>
      <c r="AX107" s="123"/>
      <c r="AY107" s="123"/>
      <c r="AZ107" s="185"/>
      <c r="BA107" s="123"/>
      <c r="BB107" s="123"/>
      <c r="BC107" s="123"/>
      <c r="BD107" s="123"/>
      <c r="BE107" s="123"/>
      <c r="BF107" s="123"/>
      <c r="BG107" s="524"/>
      <c r="BH107" s="128"/>
      <c r="BI107" s="128"/>
      <c r="BJ107" s="128"/>
      <c r="BK107" s="128"/>
      <c r="BL107" s="128"/>
      <c r="BM107" s="128"/>
      <c r="BN107" s="128"/>
      <c r="BQ107" s="29"/>
      <c r="BR107" s="107"/>
      <c r="BS107" s="106"/>
    </row>
    <row r="108" spans="1:71" s="103" customFormat="1" hidden="1" outlineLevel="1" x14ac:dyDescent="0.35">
      <c r="A108" s="499"/>
      <c r="B108" s="468"/>
      <c r="C108" s="122" t="s">
        <v>74</v>
      </c>
      <c r="D108" s="122" t="s">
        <v>75</v>
      </c>
      <c r="E108" s="147"/>
      <c r="F108" s="148"/>
      <c r="G108" s="533"/>
      <c r="H108" s="123"/>
      <c r="I108" s="124"/>
      <c r="J108" s="124"/>
      <c r="K108" s="536"/>
      <c r="L108" s="470"/>
      <c r="M108" s="522"/>
      <c r="N108" s="125">
        <f>N107</f>
        <v>0</v>
      </c>
      <c r="O108" s="125">
        <f>O107</f>
        <v>0</v>
      </c>
      <c r="P108" s="125">
        <f t="shared" si="33"/>
        <v>0</v>
      </c>
      <c r="Q108" s="125">
        <f t="shared" si="33"/>
        <v>0</v>
      </c>
      <c r="R108" s="525"/>
      <c r="S108" s="472"/>
      <c r="T108" s="124"/>
      <c r="U108" s="124"/>
      <c r="V108" s="124"/>
      <c r="W108" s="124"/>
      <c r="X108" s="124"/>
      <c r="Y108" s="124"/>
      <c r="Z108" s="124">
        <f t="shared" si="39"/>
        <v>0</v>
      </c>
      <c r="AA108" s="124">
        <f t="shared" si="39"/>
        <v>0</v>
      </c>
      <c r="AB108" s="124"/>
      <c r="AC108" s="124"/>
      <c r="AD108" s="124">
        <f t="shared" si="25"/>
        <v>0</v>
      </c>
      <c r="AE108" s="124"/>
      <c r="AF108" s="124"/>
      <c r="AG108" s="123">
        <f t="shared" si="42"/>
        <v>0</v>
      </c>
      <c r="AH108" s="124"/>
      <c r="AI108" s="185">
        <f t="shared" si="41"/>
        <v>0</v>
      </c>
      <c r="AJ108" s="185">
        <f t="shared" si="41"/>
        <v>0</v>
      </c>
      <c r="AK108" s="123"/>
      <c r="AL108" s="186">
        <f>AF108/33.828</f>
        <v>0</v>
      </c>
      <c r="AM108" s="127"/>
      <c r="AN108" s="127">
        <f>AF108</f>
        <v>0</v>
      </c>
      <c r="AO108" s="127"/>
      <c r="AP108" s="123">
        <f>AP107</f>
        <v>0</v>
      </c>
      <c r="AQ108" s="123">
        <f t="shared" si="43"/>
        <v>0</v>
      </c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525"/>
      <c r="BH108" s="128"/>
      <c r="BI108" s="128"/>
      <c r="BJ108" s="128"/>
      <c r="BK108" s="128"/>
      <c r="BL108" s="128"/>
      <c r="BM108" s="128"/>
      <c r="BN108" s="128"/>
      <c r="BQ108" s="29"/>
      <c r="BR108" s="107"/>
      <c r="BS108" s="106"/>
    </row>
    <row r="109" spans="1:71" ht="14.5" hidden="1" outlineLevel="1" x14ac:dyDescent="0.35">
      <c r="A109" s="499"/>
      <c r="B109" s="468"/>
      <c r="C109" s="129" t="s">
        <v>74</v>
      </c>
      <c r="D109" s="129" t="s">
        <v>76</v>
      </c>
      <c r="E109" s="147"/>
      <c r="F109" s="148"/>
      <c r="G109" s="533"/>
      <c r="H109" s="130"/>
      <c r="I109" s="131"/>
      <c r="J109" s="131"/>
      <c r="K109" s="537"/>
      <c r="L109" s="437"/>
      <c r="M109" s="523"/>
      <c r="N109" s="132">
        <f>N108</f>
        <v>0</v>
      </c>
      <c r="O109" s="132">
        <f>O108</f>
        <v>0</v>
      </c>
      <c r="P109" s="132">
        <f t="shared" si="33"/>
        <v>0</v>
      </c>
      <c r="Q109" s="132">
        <f t="shared" si="33"/>
        <v>0</v>
      </c>
      <c r="R109" s="526"/>
      <c r="S109" s="473"/>
      <c r="T109" s="131"/>
      <c r="U109" s="131"/>
      <c r="V109" s="131"/>
      <c r="W109" s="131"/>
      <c r="X109" s="131"/>
      <c r="Y109" s="131"/>
      <c r="Z109" s="131">
        <f t="shared" si="39"/>
        <v>0</v>
      </c>
      <c r="AA109" s="131">
        <f t="shared" si="39"/>
        <v>0</v>
      </c>
      <c r="AB109" s="131"/>
      <c r="AC109" s="131"/>
      <c r="AD109" s="131">
        <f t="shared" si="25"/>
        <v>0</v>
      </c>
      <c r="AE109" s="131"/>
      <c r="AF109" s="131">
        <f>AF108</f>
        <v>0</v>
      </c>
      <c r="AG109" s="130">
        <f t="shared" si="42"/>
        <v>0</v>
      </c>
      <c r="AH109" s="131"/>
      <c r="AI109" s="187">
        <f t="shared" si="41"/>
        <v>0</v>
      </c>
      <c r="AJ109" s="187">
        <f t="shared" si="41"/>
        <v>0</v>
      </c>
      <c r="AK109" s="130"/>
      <c r="AL109" s="188">
        <f>AF109/33.898</f>
        <v>0</v>
      </c>
      <c r="AM109" s="134"/>
      <c r="AN109" s="134">
        <f>AN108</f>
        <v>0</v>
      </c>
      <c r="AO109" s="134"/>
      <c r="AP109" s="130">
        <f>AP108</f>
        <v>0</v>
      </c>
      <c r="AQ109" s="130">
        <f t="shared" si="43"/>
        <v>0</v>
      </c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526"/>
      <c r="BH109" s="135"/>
      <c r="BI109" s="135"/>
      <c r="BJ109" s="135"/>
      <c r="BK109" s="135"/>
      <c r="BL109" s="135"/>
      <c r="BM109" s="135"/>
      <c r="BN109" s="135"/>
      <c r="BQ109" s="27"/>
      <c r="BR109" s="28"/>
      <c r="BS109" s="31"/>
    </row>
    <row r="110" spans="1:71" s="103" customFormat="1" ht="12.75" hidden="1" customHeight="1" outlineLevel="1" x14ac:dyDescent="0.35">
      <c r="A110" s="499"/>
      <c r="B110" s="468"/>
      <c r="C110" s="122" t="s">
        <v>72</v>
      </c>
      <c r="D110" s="122" t="s">
        <v>73</v>
      </c>
      <c r="E110" s="147"/>
      <c r="F110" s="148"/>
      <c r="G110" s="533"/>
      <c r="H110" s="123"/>
      <c r="I110" s="124"/>
      <c r="J110" s="124"/>
      <c r="K110" s="535"/>
      <c r="L110" s="436"/>
      <c r="M110" s="521"/>
      <c r="N110" s="125">
        <f>O110/1.12</f>
        <v>0</v>
      </c>
      <c r="O110" s="125"/>
      <c r="P110" s="125">
        <f t="shared" si="33"/>
        <v>0</v>
      </c>
      <c r="Q110" s="125">
        <f t="shared" si="33"/>
        <v>0</v>
      </c>
      <c r="R110" s="524"/>
      <c r="S110" s="471"/>
      <c r="T110" s="124"/>
      <c r="U110" s="124"/>
      <c r="V110" s="124"/>
      <c r="W110" s="124"/>
      <c r="X110" s="124"/>
      <c r="Y110" s="124"/>
      <c r="Z110" s="124">
        <f t="shared" si="39"/>
        <v>0</v>
      </c>
      <c r="AA110" s="124">
        <f t="shared" si="39"/>
        <v>0</v>
      </c>
      <c r="AB110" s="124"/>
      <c r="AC110" s="124"/>
      <c r="AD110" s="124">
        <f t="shared" si="25"/>
        <v>0</v>
      </c>
      <c r="AE110" s="124"/>
      <c r="AF110" s="93">
        <f>ROUND(P110/1000,0)</f>
        <v>0</v>
      </c>
      <c r="AG110" s="123">
        <f t="shared" si="42"/>
        <v>0</v>
      </c>
      <c r="AH110" s="124"/>
      <c r="AI110" s="185">
        <f t="shared" si="41"/>
        <v>0</v>
      </c>
      <c r="AJ110" s="185">
        <f t="shared" si="41"/>
        <v>0</v>
      </c>
      <c r="AK110" s="123"/>
      <c r="AL110" s="186">
        <f>AF110/34</f>
        <v>0</v>
      </c>
      <c r="AM110" s="127"/>
      <c r="AN110" s="127"/>
      <c r="AO110" s="127"/>
      <c r="AP110" s="123">
        <f>ROUND(P110/1000,0)</f>
        <v>0</v>
      </c>
      <c r="AQ110" s="123">
        <f t="shared" si="43"/>
        <v>0</v>
      </c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>
        <f>AF110-AC110</f>
        <v>0</v>
      </c>
      <c r="BG110" s="524"/>
      <c r="BH110" s="128"/>
      <c r="BI110" s="128"/>
      <c r="BJ110" s="128"/>
      <c r="BK110" s="128"/>
      <c r="BL110" s="128"/>
      <c r="BM110" s="128"/>
      <c r="BN110" s="128"/>
      <c r="BQ110" s="29"/>
      <c r="BR110" s="107"/>
      <c r="BS110" s="106"/>
    </row>
    <row r="111" spans="1:71" s="103" customFormat="1" hidden="1" outlineLevel="1" x14ac:dyDescent="0.35">
      <c r="A111" s="499"/>
      <c r="B111" s="468"/>
      <c r="C111" s="122" t="s">
        <v>74</v>
      </c>
      <c r="D111" s="122" t="s">
        <v>75</v>
      </c>
      <c r="E111" s="147"/>
      <c r="F111" s="148"/>
      <c r="G111" s="533"/>
      <c r="H111" s="123"/>
      <c r="I111" s="124"/>
      <c r="J111" s="124"/>
      <c r="K111" s="536"/>
      <c r="L111" s="470"/>
      <c r="M111" s="522"/>
      <c r="N111" s="125">
        <f>N110</f>
        <v>0</v>
      </c>
      <c r="O111" s="125">
        <f>O110</f>
        <v>0</v>
      </c>
      <c r="P111" s="125">
        <f t="shared" si="33"/>
        <v>0</v>
      </c>
      <c r="Q111" s="125">
        <f t="shared" si="33"/>
        <v>0</v>
      </c>
      <c r="R111" s="525"/>
      <c r="S111" s="472"/>
      <c r="T111" s="124"/>
      <c r="U111" s="124"/>
      <c r="V111" s="124"/>
      <c r="W111" s="124"/>
      <c r="X111" s="124"/>
      <c r="Y111" s="124"/>
      <c r="Z111" s="124">
        <f t="shared" si="39"/>
        <v>0</v>
      </c>
      <c r="AA111" s="124">
        <f t="shared" si="39"/>
        <v>0</v>
      </c>
      <c r="AB111" s="124"/>
      <c r="AC111" s="124"/>
      <c r="AD111" s="124">
        <f t="shared" si="25"/>
        <v>0</v>
      </c>
      <c r="AE111" s="124"/>
      <c r="AF111" s="124"/>
      <c r="AG111" s="123">
        <f t="shared" si="42"/>
        <v>0</v>
      </c>
      <c r="AH111" s="124"/>
      <c r="AI111" s="185">
        <f t="shared" si="41"/>
        <v>0</v>
      </c>
      <c r="AJ111" s="185">
        <f t="shared" si="41"/>
        <v>0</v>
      </c>
      <c r="AK111" s="123"/>
      <c r="AL111" s="186">
        <f>AF111/34</f>
        <v>0</v>
      </c>
      <c r="AM111" s="127"/>
      <c r="AN111" s="127">
        <f>AF111</f>
        <v>0</v>
      </c>
      <c r="AO111" s="127"/>
      <c r="AP111" s="123">
        <f>AP110</f>
        <v>0</v>
      </c>
      <c r="AQ111" s="123">
        <f t="shared" si="43"/>
        <v>0</v>
      </c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525"/>
      <c r="BH111" s="128"/>
      <c r="BI111" s="128"/>
      <c r="BJ111" s="128"/>
      <c r="BK111" s="128"/>
      <c r="BL111" s="128"/>
      <c r="BM111" s="128"/>
      <c r="BN111" s="128"/>
      <c r="BQ111" s="29"/>
      <c r="BR111" s="107"/>
      <c r="BS111" s="106"/>
    </row>
    <row r="112" spans="1:71" ht="14.5" hidden="1" outlineLevel="1" x14ac:dyDescent="0.35">
      <c r="A112" s="499"/>
      <c r="B112" s="468"/>
      <c r="C112" s="129" t="s">
        <v>74</v>
      </c>
      <c r="D112" s="129" t="s">
        <v>76</v>
      </c>
      <c r="E112" s="147"/>
      <c r="F112" s="148"/>
      <c r="G112" s="533"/>
      <c r="H112" s="130"/>
      <c r="I112" s="131"/>
      <c r="J112" s="131"/>
      <c r="K112" s="537"/>
      <c r="L112" s="470"/>
      <c r="M112" s="523"/>
      <c r="N112" s="132">
        <f>N111</f>
        <v>0</v>
      </c>
      <c r="O112" s="132">
        <f>O111</f>
        <v>0</v>
      </c>
      <c r="P112" s="132">
        <f t="shared" si="33"/>
        <v>0</v>
      </c>
      <c r="Q112" s="132">
        <f t="shared" si="33"/>
        <v>0</v>
      </c>
      <c r="R112" s="525"/>
      <c r="S112" s="473"/>
      <c r="T112" s="131"/>
      <c r="U112" s="131"/>
      <c r="V112" s="131"/>
      <c r="W112" s="131"/>
      <c r="X112" s="131"/>
      <c r="Y112" s="131"/>
      <c r="Z112" s="131">
        <f t="shared" si="39"/>
        <v>0</v>
      </c>
      <c r="AA112" s="131">
        <f t="shared" si="39"/>
        <v>0</v>
      </c>
      <c r="AB112" s="131"/>
      <c r="AC112" s="131"/>
      <c r="AD112" s="131">
        <f t="shared" si="25"/>
        <v>0</v>
      </c>
      <c r="AE112" s="131"/>
      <c r="AF112" s="131">
        <f>AF111</f>
        <v>0</v>
      </c>
      <c r="AG112" s="130">
        <f t="shared" si="42"/>
        <v>0</v>
      </c>
      <c r="AH112" s="131"/>
      <c r="AI112" s="187">
        <f t="shared" si="41"/>
        <v>0</v>
      </c>
      <c r="AJ112" s="187">
        <f t="shared" si="41"/>
        <v>0</v>
      </c>
      <c r="AK112" s="130"/>
      <c r="AL112" s="188">
        <f>AF112/34</f>
        <v>0</v>
      </c>
      <c r="AM112" s="134"/>
      <c r="AN112" s="134">
        <f>AN111</f>
        <v>0</v>
      </c>
      <c r="AO112" s="134"/>
      <c r="AP112" s="130">
        <f>AP111</f>
        <v>0</v>
      </c>
      <c r="AQ112" s="130">
        <f t="shared" si="43"/>
        <v>0</v>
      </c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526"/>
      <c r="BH112" s="135"/>
      <c r="BI112" s="135"/>
      <c r="BJ112" s="135"/>
      <c r="BK112" s="135"/>
      <c r="BL112" s="135"/>
      <c r="BM112" s="135"/>
      <c r="BN112" s="135"/>
      <c r="BQ112" s="27"/>
      <c r="BR112" s="28"/>
      <c r="BS112" s="31"/>
    </row>
    <row r="113" spans="1:71" s="103" customFormat="1" ht="12.75" hidden="1" customHeight="1" outlineLevel="1" x14ac:dyDescent="0.35">
      <c r="A113" s="499"/>
      <c r="B113" s="468"/>
      <c r="C113" s="122" t="s">
        <v>72</v>
      </c>
      <c r="D113" s="122" t="s">
        <v>73</v>
      </c>
      <c r="E113" s="147"/>
      <c r="F113" s="148"/>
      <c r="G113" s="533"/>
      <c r="H113" s="123"/>
      <c r="I113" s="124"/>
      <c r="J113" s="124"/>
      <c r="K113" s="535"/>
      <c r="L113" s="470"/>
      <c r="M113" s="521"/>
      <c r="N113" s="125">
        <f>O113/1.12</f>
        <v>0</v>
      </c>
      <c r="O113" s="125"/>
      <c r="P113" s="125">
        <f t="shared" si="33"/>
        <v>0</v>
      </c>
      <c r="Q113" s="125">
        <f t="shared" si="33"/>
        <v>0</v>
      </c>
      <c r="R113" s="525"/>
      <c r="S113" s="471"/>
      <c r="T113" s="124"/>
      <c r="U113" s="124"/>
      <c r="V113" s="124"/>
      <c r="W113" s="124"/>
      <c r="X113" s="124"/>
      <c r="Y113" s="124"/>
      <c r="Z113" s="124">
        <f t="shared" si="39"/>
        <v>0</v>
      </c>
      <c r="AA113" s="124">
        <f t="shared" si="39"/>
        <v>0</v>
      </c>
      <c r="AB113" s="124"/>
      <c r="AC113" s="124"/>
      <c r="AD113" s="124">
        <f t="shared" si="25"/>
        <v>0</v>
      </c>
      <c r="AE113" s="124"/>
      <c r="AF113" s="93">
        <f>ROUND(P113/1000,0)</f>
        <v>0</v>
      </c>
      <c r="AG113" s="123">
        <f t="shared" si="42"/>
        <v>0</v>
      </c>
      <c r="AH113" s="124"/>
      <c r="AI113" s="185">
        <f t="shared" si="41"/>
        <v>0</v>
      </c>
      <c r="AJ113" s="185">
        <f t="shared" si="41"/>
        <v>0</v>
      </c>
      <c r="AK113" s="123"/>
      <c r="AL113" s="186">
        <f>AF113/360</f>
        <v>0</v>
      </c>
      <c r="AM113" s="127"/>
      <c r="AN113" s="127"/>
      <c r="AO113" s="127"/>
      <c r="AP113" s="123">
        <f>ROUND(P113/1000,0)</f>
        <v>0</v>
      </c>
      <c r="AQ113" s="123">
        <f t="shared" si="43"/>
        <v>0</v>
      </c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>
        <f>AF113-AC113</f>
        <v>0</v>
      </c>
      <c r="BG113" s="524"/>
      <c r="BH113" s="128"/>
      <c r="BI113" s="128"/>
      <c r="BJ113" s="128"/>
      <c r="BK113" s="128"/>
      <c r="BL113" s="128"/>
      <c r="BM113" s="128"/>
      <c r="BN113" s="128"/>
      <c r="BQ113" s="29"/>
      <c r="BR113" s="107"/>
      <c r="BS113" s="106"/>
    </row>
    <row r="114" spans="1:71" s="103" customFormat="1" hidden="1" outlineLevel="1" x14ac:dyDescent="0.35">
      <c r="A114" s="499"/>
      <c r="B114" s="468"/>
      <c r="C114" s="122" t="s">
        <v>74</v>
      </c>
      <c r="D114" s="122" t="s">
        <v>75</v>
      </c>
      <c r="E114" s="147"/>
      <c r="F114" s="148"/>
      <c r="G114" s="533"/>
      <c r="H114" s="123"/>
      <c r="I114" s="124"/>
      <c r="J114" s="124"/>
      <c r="K114" s="536"/>
      <c r="L114" s="470"/>
      <c r="M114" s="522"/>
      <c r="N114" s="125">
        <f>N113</f>
        <v>0</v>
      </c>
      <c r="O114" s="125">
        <f>O113</f>
        <v>0</v>
      </c>
      <c r="P114" s="125">
        <f t="shared" si="33"/>
        <v>0</v>
      </c>
      <c r="Q114" s="125">
        <f t="shared" si="33"/>
        <v>0</v>
      </c>
      <c r="R114" s="525"/>
      <c r="S114" s="472"/>
      <c r="T114" s="124"/>
      <c r="U114" s="124"/>
      <c r="V114" s="124"/>
      <c r="W114" s="124"/>
      <c r="X114" s="124"/>
      <c r="Y114" s="124"/>
      <c r="Z114" s="124">
        <f t="shared" si="39"/>
        <v>0</v>
      </c>
      <c r="AA114" s="124">
        <f t="shared" si="39"/>
        <v>0</v>
      </c>
      <c r="AB114" s="124"/>
      <c r="AC114" s="124"/>
      <c r="AD114" s="124">
        <f t="shared" si="25"/>
        <v>0</v>
      </c>
      <c r="AE114" s="124"/>
      <c r="AF114" s="124"/>
      <c r="AG114" s="123">
        <f t="shared" si="42"/>
        <v>0</v>
      </c>
      <c r="AH114" s="124"/>
      <c r="AI114" s="185">
        <f t="shared" si="41"/>
        <v>0</v>
      </c>
      <c r="AJ114" s="185">
        <f t="shared" si="41"/>
        <v>0</v>
      </c>
      <c r="AK114" s="123"/>
      <c r="AL114" s="186">
        <f>AF114/359.892</f>
        <v>0</v>
      </c>
      <c r="AM114" s="127"/>
      <c r="AN114" s="127">
        <f>AF114</f>
        <v>0</v>
      </c>
      <c r="AO114" s="127"/>
      <c r="AP114" s="123">
        <f>AP113</f>
        <v>0</v>
      </c>
      <c r="AQ114" s="123">
        <f t="shared" si="43"/>
        <v>0</v>
      </c>
      <c r="AR114" s="123"/>
      <c r="AS114" s="123"/>
      <c r="AT114" s="123"/>
      <c r="AU114" s="123"/>
      <c r="AV114" s="123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525"/>
      <c r="BH114" s="128"/>
      <c r="BI114" s="128"/>
      <c r="BJ114" s="128"/>
      <c r="BK114" s="128"/>
      <c r="BL114" s="128"/>
      <c r="BM114" s="128"/>
      <c r="BN114" s="128"/>
      <c r="BQ114" s="29"/>
      <c r="BR114" s="107"/>
      <c r="BS114" s="106"/>
    </row>
    <row r="115" spans="1:71" ht="14.5" hidden="1" outlineLevel="1" x14ac:dyDescent="0.35">
      <c r="A115" s="439"/>
      <c r="B115" s="469"/>
      <c r="C115" s="129" t="s">
        <v>74</v>
      </c>
      <c r="D115" s="129" t="s">
        <v>76</v>
      </c>
      <c r="E115" s="147"/>
      <c r="F115" s="148"/>
      <c r="G115" s="534"/>
      <c r="H115" s="130"/>
      <c r="I115" s="131"/>
      <c r="J115" s="131"/>
      <c r="K115" s="537"/>
      <c r="L115" s="437"/>
      <c r="M115" s="523"/>
      <c r="N115" s="132">
        <f>N114</f>
        <v>0</v>
      </c>
      <c r="O115" s="132">
        <f>O114</f>
        <v>0</v>
      </c>
      <c r="P115" s="132">
        <f t="shared" si="33"/>
        <v>0</v>
      </c>
      <c r="Q115" s="132">
        <f t="shared" si="33"/>
        <v>0</v>
      </c>
      <c r="R115" s="526"/>
      <c r="S115" s="473"/>
      <c r="T115" s="131"/>
      <c r="U115" s="131"/>
      <c r="V115" s="131"/>
      <c r="W115" s="131"/>
      <c r="X115" s="131"/>
      <c r="Y115" s="131"/>
      <c r="Z115" s="131">
        <f t="shared" si="39"/>
        <v>0</v>
      </c>
      <c r="AA115" s="131">
        <f t="shared" si="39"/>
        <v>0</v>
      </c>
      <c r="AB115" s="131"/>
      <c r="AC115" s="131"/>
      <c r="AD115" s="131">
        <f t="shared" si="25"/>
        <v>0</v>
      </c>
      <c r="AE115" s="131"/>
      <c r="AF115" s="131">
        <f>AF114</f>
        <v>0</v>
      </c>
      <c r="AG115" s="130">
        <f t="shared" si="42"/>
        <v>0</v>
      </c>
      <c r="AH115" s="131"/>
      <c r="AI115" s="187">
        <f t="shared" ref="AI115:AJ118" si="44">AF115-AC115</f>
        <v>0</v>
      </c>
      <c r="AJ115" s="187">
        <f t="shared" si="44"/>
        <v>0</v>
      </c>
      <c r="AK115" s="130"/>
      <c r="AL115" s="188">
        <f>AF115/359.892</f>
        <v>0</v>
      </c>
      <c r="AM115" s="134"/>
      <c r="AN115" s="134">
        <f>AN114</f>
        <v>0</v>
      </c>
      <c r="AO115" s="134"/>
      <c r="AP115" s="130">
        <f>AP114</f>
        <v>0</v>
      </c>
      <c r="AQ115" s="130">
        <f t="shared" si="43"/>
        <v>0</v>
      </c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526"/>
      <c r="BH115" s="135"/>
      <c r="BI115" s="135"/>
      <c r="BJ115" s="135"/>
      <c r="BK115" s="135"/>
      <c r="BL115" s="135"/>
      <c r="BM115" s="135"/>
      <c r="BN115" s="135"/>
      <c r="BQ115" s="27"/>
      <c r="BR115" s="28"/>
      <c r="BS115" s="31"/>
    </row>
    <row r="116" spans="1:71" s="103" customFormat="1" ht="18.75" hidden="1" customHeight="1" x14ac:dyDescent="0.35">
      <c r="A116" s="438">
        <v>2</v>
      </c>
      <c r="B116" s="436"/>
      <c r="C116" s="122" t="s">
        <v>72</v>
      </c>
      <c r="D116" s="122" t="s">
        <v>73</v>
      </c>
      <c r="E116" s="123">
        <f t="shared" ref="E116:F118" si="45">I116</f>
        <v>0</v>
      </c>
      <c r="F116" s="189">
        <f t="shared" si="45"/>
        <v>0</v>
      </c>
      <c r="G116" s="493"/>
      <c r="H116" s="496"/>
      <c r="I116" s="189"/>
      <c r="J116" s="189">
        <f>I116*1.12</f>
        <v>0</v>
      </c>
      <c r="K116" s="559"/>
      <c r="L116" s="562"/>
      <c r="M116" s="521"/>
      <c r="N116" s="139">
        <f>O116/1.12</f>
        <v>0</v>
      </c>
      <c r="O116" s="139"/>
      <c r="P116" s="139">
        <f t="shared" si="33"/>
        <v>0</v>
      </c>
      <c r="Q116" s="139">
        <f t="shared" si="33"/>
        <v>0</v>
      </c>
      <c r="R116" s="524"/>
      <c r="S116" s="471"/>
      <c r="T116" s="124"/>
      <c r="U116" s="124"/>
      <c r="V116" s="124"/>
      <c r="W116" s="124"/>
      <c r="X116" s="124"/>
      <c r="Y116" s="124"/>
      <c r="Z116" s="124">
        <f t="shared" si="39"/>
        <v>0</v>
      </c>
      <c r="AA116" s="124">
        <f t="shared" si="39"/>
        <v>0</v>
      </c>
      <c r="AB116" s="124"/>
      <c r="AC116" s="124"/>
      <c r="AD116" s="189">
        <f>AC116*1.12</f>
        <v>0</v>
      </c>
      <c r="AE116" s="189"/>
      <c r="AF116" s="140"/>
      <c r="AG116" s="185">
        <f>AF116*1.12</f>
        <v>0</v>
      </c>
      <c r="AH116" s="124"/>
      <c r="AI116" s="123">
        <f t="shared" si="44"/>
        <v>0</v>
      </c>
      <c r="AJ116" s="123">
        <f t="shared" si="44"/>
        <v>0</v>
      </c>
      <c r="AK116" s="123"/>
      <c r="AL116" s="126" t="str">
        <f t="shared" si="37"/>
        <v/>
      </c>
      <c r="AM116" s="127"/>
      <c r="AN116" s="127"/>
      <c r="AO116" s="127"/>
      <c r="AP116" s="42">
        <f>AF116</f>
        <v>0</v>
      </c>
      <c r="AQ116" s="190">
        <f>AP116</f>
        <v>0</v>
      </c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3"/>
      <c r="BE116" s="123"/>
      <c r="BF116" s="123"/>
      <c r="BG116" s="550"/>
      <c r="BH116" s="128"/>
      <c r="BI116" s="128"/>
      <c r="BJ116" s="128"/>
      <c r="BK116" s="128"/>
      <c r="BL116" s="128"/>
      <c r="BM116" s="128"/>
      <c r="BN116" s="128"/>
      <c r="BQ116" s="29"/>
      <c r="BR116" s="107"/>
      <c r="BS116" s="106"/>
    </row>
    <row r="117" spans="1:71" s="103" customFormat="1" ht="18.75" hidden="1" customHeight="1" x14ac:dyDescent="0.35">
      <c r="A117" s="499"/>
      <c r="B117" s="470"/>
      <c r="C117" s="122" t="s">
        <v>74</v>
      </c>
      <c r="D117" s="122" t="s">
        <v>75</v>
      </c>
      <c r="E117" s="123">
        <f t="shared" si="45"/>
        <v>0</v>
      </c>
      <c r="F117" s="189">
        <f t="shared" si="45"/>
        <v>0</v>
      </c>
      <c r="G117" s="494"/>
      <c r="H117" s="497"/>
      <c r="I117" s="189">
        <f>I116</f>
        <v>0</v>
      </c>
      <c r="J117" s="189">
        <f>I117*1.12</f>
        <v>0</v>
      </c>
      <c r="K117" s="560"/>
      <c r="L117" s="563"/>
      <c r="M117" s="522"/>
      <c r="N117" s="125">
        <f>N116</f>
        <v>0</v>
      </c>
      <c r="O117" s="125">
        <f>O116</f>
        <v>0</v>
      </c>
      <c r="P117" s="125">
        <f t="shared" si="33"/>
        <v>0</v>
      </c>
      <c r="Q117" s="125">
        <f t="shared" si="33"/>
        <v>0</v>
      </c>
      <c r="R117" s="525"/>
      <c r="S117" s="472"/>
      <c r="T117" s="124"/>
      <c r="U117" s="124"/>
      <c r="V117" s="124"/>
      <c r="W117" s="124"/>
      <c r="X117" s="124"/>
      <c r="Y117" s="124"/>
      <c r="Z117" s="124">
        <f t="shared" si="39"/>
        <v>0</v>
      </c>
      <c r="AA117" s="124">
        <f t="shared" si="39"/>
        <v>0</v>
      </c>
      <c r="AB117" s="124"/>
      <c r="AC117" s="124">
        <f>AC116</f>
        <v>0</v>
      </c>
      <c r="AD117" s="189">
        <f>AC117*1.12</f>
        <v>0</v>
      </c>
      <c r="AE117" s="189"/>
      <c r="AF117" s="189"/>
      <c r="AG117" s="185">
        <f>AF117*1.12</f>
        <v>0</v>
      </c>
      <c r="AH117" s="124"/>
      <c r="AI117" s="123">
        <f t="shared" si="44"/>
        <v>0</v>
      </c>
      <c r="AJ117" s="123">
        <f t="shared" si="44"/>
        <v>0</v>
      </c>
      <c r="AK117" s="123"/>
      <c r="AL117" s="126" t="str">
        <f t="shared" si="37"/>
        <v/>
      </c>
      <c r="AM117" s="127"/>
      <c r="AN117" s="127">
        <f>AF117</f>
        <v>0</v>
      </c>
      <c r="AO117" s="127"/>
      <c r="AP117" s="42">
        <f>AF117</f>
        <v>0</v>
      </c>
      <c r="AQ117" s="190">
        <f>AG117</f>
        <v>0</v>
      </c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551"/>
      <c r="BH117" s="128"/>
      <c r="BI117" s="128"/>
      <c r="BJ117" s="128"/>
      <c r="BK117" s="128"/>
      <c r="BL117" s="128"/>
      <c r="BM117" s="128"/>
      <c r="BN117" s="128"/>
      <c r="BQ117" s="29"/>
      <c r="BR117" s="107"/>
      <c r="BS117" s="106"/>
    </row>
    <row r="118" spans="1:71" ht="18.75" hidden="1" customHeight="1" x14ac:dyDescent="0.35">
      <c r="A118" s="439"/>
      <c r="B118" s="437"/>
      <c r="C118" s="129" t="s">
        <v>74</v>
      </c>
      <c r="D118" s="129" t="s">
        <v>76</v>
      </c>
      <c r="E118" s="130">
        <f t="shared" si="45"/>
        <v>0</v>
      </c>
      <c r="F118" s="191">
        <f t="shared" si="45"/>
        <v>0</v>
      </c>
      <c r="G118" s="495"/>
      <c r="H118" s="498"/>
      <c r="I118" s="191">
        <f>I117</f>
        <v>0</v>
      </c>
      <c r="J118" s="191">
        <f>J117</f>
        <v>0</v>
      </c>
      <c r="K118" s="561"/>
      <c r="L118" s="564"/>
      <c r="M118" s="523"/>
      <c r="N118" s="132">
        <f>N117</f>
        <v>0</v>
      </c>
      <c r="O118" s="132">
        <f>O117</f>
        <v>0</v>
      </c>
      <c r="P118" s="132">
        <f t="shared" si="33"/>
        <v>0</v>
      </c>
      <c r="Q118" s="132">
        <f t="shared" si="33"/>
        <v>0</v>
      </c>
      <c r="R118" s="526"/>
      <c r="S118" s="473"/>
      <c r="T118" s="131"/>
      <c r="U118" s="131"/>
      <c r="V118" s="131"/>
      <c r="W118" s="131"/>
      <c r="X118" s="131"/>
      <c r="Y118" s="131"/>
      <c r="Z118" s="131">
        <f t="shared" si="39"/>
        <v>0</v>
      </c>
      <c r="AA118" s="131">
        <f t="shared" si="39"/>
        <v>0</v>
      </c>
      <c r="AB118" s="131"/>
      <c r="AC118" s="131">
        <f>AC117</f>
        <v>0</v>
      </c>
      <c r="AD118" s="191">
        <f>AC118*1.12</f>
        <v>0</v>
      </c>
      <c r="AE118" s="191"/>
      <c r="AF118" s="191">
        <f>AF117</f>
        <v>0</v>
      </c>
      <c r="AG118" s="187">
        <f>AF118*1.12</f>
        <v>0</v>
      </c>
      <c r="AH118" s="131"/>
      <c r="AI118" s="130">
        <f t="shared" si="44"/>
        <v>0</v>
      </c>
      <c r="AJ118" s="130">
        <f t="shared" si="44"/>
        <v>0</v>
      </c>
      <c r="AK118" s="130"/>
      <c r="AL118" s="133" t="str">
        <f t="shared" si="37"/>
        <v/>
      </c>
      <c r="AM118" s="134"/>
      <c r="AN118" s="134">
        <f>AF118</f>
        <v>0</v>
      </c>
      <c r="AO118" s="134"/>
      <c r="AP118" s="192">
        <f>AP117</f>
        <v>0</v>
      </c>
      <c r="AQ118" s="193">
        <f>AG118</f>
        <v>0</v>
      </c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552"/>
      <c r="BH118" s="135"/>
      <c r="BI118" s="135"/>
      <c r="BJ118" s="135"/>
      <c r="BK118" s="135"/>
      <c r="BL118" s="135"/>
      <c r="BM118" s="135"/>
      <c r="BN118" s="135"/>
      <c r="BQ118" s="27"/>
      <c r="BR118" s="28"/>
      <c r="BS118" s="31"/>
    </row>
    <row r="119" spans="1:71" s="103" customFormat="1" ht="12.75" customHeight="1" outlineLevel="1" x14ac:dyDescent="0.35">
      <c r="A119" s="433">
        <v>2</v>
      </c>
      <c r="B119" s="435" t="s">
        <v>111</v>
      </c>
      <c r="C119" s="90" t="s">
        <v>72</v>
      </c>
      <c r="D119" s="90" t="s">
        <v>73</v>
      </c>
      <c r="E119" s="91">
        <f>E123+E126+E129+E132</f>
        <v>0</v>
      </c>
      <c r="F119" s="91">
        <f>F123+F126+F129+F132</f>
        <v>0</v>
      </c>
      <c r="G119" s="92"/>
      <c r="H119" s="91">
        <f>H123+H126+H129+H132</f>
        <v>1000</v>
      </c>
      <c r="I119" s="93">
        <f>I123+I126+I129+I132</f>
        <v>0</v>
      </c>
      <c r="J119" s="93">
        <f>J123+J126+J129+J132</f>
        <v>0</v>
      </c>
      <c r="K119" s="94"/>
      <c r="L119" s="95"/>
      <c r="M119" s="96"/>
      <c r="N119" s="97">
        <f>N123+N126+N129+N132</f>
        <v>20830155044.642857</v>
      </c>
      <c r="O119" s="97">
        <f>O123+O126+O129+O132</f>
        <v>23329773650</v>
      </c>
      <c r="P119" s="97">
        <f>P123+P126+P129+P132</f>
        <v>20830155044.642857</v>
      </c>
      <c r="Q119" s="97">
        <f>Q123+Q126+Q129+Q132</f>
        <v>23329773650</v>
      </c>
      <c r="R119" s="98"/>
      <c r="S119" s="91">
        <f>S123+S126+S129</f>
        <v>0</v>
      </c>
      <c r="T119" s="93">
        <f>T123+T126+T129+T132</f>
        <v>0</v>
      </c>
      <c r="U119" s="93">
        <f>U123+U126+U129+U132</f>
        <v>0</v>
      </c>
      <c r="V119" s="93">
        <f t="shared" ref="V119:AK119" si="46">V123+V126+V129+V132</f>
        <v>0</v>
      </c>
      <c r="W119" s="93">
        <f t="shared" si="46"/>
        <v>0</v>
      </c>
      <c r="X119" s="93">
        <f t="shared" si="46"/>
        <v>0</v>
      </c>
      <c r="Y119" s="93">
        <f t="shared" si="46"/>
        <v>0</v>
      </c>
      <c r="Z119" s="93">
        <f>Z123+Z126+Z129+Z132</f>
        <v>0</v>
      </c>
      <c r="AA119" s="93">
        <f t="shared" si="46"/>
        <v>0</v>
      </c>
      <c r="AB119" s="93">
        <f t="shared" si="46"/>
        <v>0</v>
      </c>
      <c r="AC119" s="93">
        <f t="shared" si="46"/>
        <v>0</v>
      </c>
      <c r="AD119" s="93">
        <f t="shared" si="46"/>
        <v>0</v>
      </c>
      <c r="AE119" s="93">
        <f t="shared" si="46"/>
        <v>0</v>
      </c>
      <c r="AF119" s="93">
        <f t="shared" si="46"/>
        <v>0</v>
      </c>
      <c r="AG119" s="91">
        <f t="shared" si="46"/>
        <v>0</v>
      </c>
      <c r="AH119" s="93">
        <f t="shared" si="46"/>
        <v>0</v>
      </c>
      <c r="AI119" s="91">
        <f t="shared" si="46"/>
        <v>0</v>
      </c>
      <c r="AJ119" s="91">
        <f t="shared" si="46"/>
        <v>0</v>
      </c>
      <c r="AK119" s="91">
        <f t="shared" si="46"/>
        <v>0</v>
      </c>
      <c r="AL119" s="99" t="str">
        <f t="shared" si="37"/>
        <v/>
      </c>
      <c r="AM119" s="100">
        <f t="shared" ref="AM119:BF119" si="47">AM123+AM126+AM129+AM132</f>
        <v>0</v>
      </c>
      <c r="AN119" s="100">
        <f t="shared" si="47"/>
        <v>0</v>
      </c>
      <c r="AO119" s="100">
        <f t="shared" si="47"/>
        <v>0</v>
      </c>
      <c r="AP119" s="91">
        <f t="shared" si="47"/>
        <v>0</v>
      </c>
      <c r="AQ119" s="91">
        <f t="shared" si="47"/>
        <v>0</v>
      </c>
      <c r="AR119" s="91">
        <f t="shared" si="47"/>
        <v>0</v>
      </c>
      <c r="AS119" s="91">
        <f t="shared" si="47"/>
        <v>0</v>
      </c>
      <c r="AT119" s="91">
        <f t="shared" si="47"/>
        <v>0</v>
      </c>
      <c r="AU119" s="91">
        <f t="shared" si="47"/>
        <v>0</v>
      </c>
      <c r="AV119" s="91">
        <f t="shared" si="47"/>
        <v>0</v>
      </c>
      <c r="AW119" s="91">
        <f t="shared" si="47"/>
        <v>0</v>
      </c>
      <c r="AX119" s="91">
        <f t="shared" si="47"/>
        <v>0</v>
      </c>
      <c r="AY119" s="91">
        <f t="shared" si="47"/>
        <v>0</v>
      </c>
      <c r="AZ119" s="91">
        <f t="shared" si="47"/>
        <v>0</v>
      </c>
      <c r="BA119" s="91">
        <f t="shared" si="47"/>
        <v>0</v>
      </c>
      <c r="BB119" s="91">
        <f t="shared" si="47"/>
        <v>0</v>
      </c>
      <c r="BC119" s="91">
        <f t="shared" si="47"/>
        <v>0</v>
      </c>
      <c r="BD119" s="91">
        <f t="shared" si="47"/>
        <v>0</v>
      </c>
      <c r="BE119" s="91">
        <f t="shared" si="47"/>
        <v>0</v>
      </c>
      <c r="BF119" s="91">
        <f t="shared" si="47"/>
        <v>0</v>
      </c>
      <c r="BG119" s="102"/>
      <c r="BH119" s="102">
        <f>BH123+BH126+BH129</f>
        <v>0</v>
      </c>
      <c r="BI119" s="91">
        <f>BI123+BI126+BI129+BI132</f>
        <v>0</v>
      </c>
      <c r="BJ119" s="91">
        <f>BJ123+BJ126+BJ129+BJ132</f>
        <v>0</v>
      </c>
      <c r="BK119" s="91">
        <f>BK123+BK126+BK129+BK132</f>
        <v>0</v>
      </c>
      <c r="BL119" s="102"/>
      <c r="BM119" s="102"/>
      <c r="BN119" s="102"/>
      <c r="BQ119" s="104">
        <f>SUM(AS119:BF119)</f>
        <v>0</v>
      </c>
      <c r="BR119" s="105">
        <f>AI119-BQ119</f>
        <v>0</v>
      </c>
      <c r="BS119" s="106"/>
    </row>
    <row r="120" spans="1:71" s="103" customFormat="1" outlineLevel="1" x14ac:dyDescent="0.35">
      <c r="A120" s="553"/>
      <c r="B120" s="555"/>
      <c r="C120" s="90" t="s">
        <v>74</v>
      </c>
      <c r="D120" s="90" t="s">
        <v>75</v>
      </c>
      <c r="E120" s="91">
        <f>E121+E122</f>
        <v>0</v>
      </c>
      <c r="F120" s="91">
        <f>F121+F122</f>
        <v>0</v>
      </c>
      <c r="G120" s="92"/>
      <c r="H120" s="91"/>
      <c r="I120" s="93">
        <f t="shared" ref="I120:Q120" si="48">I121+I122</f>
        <v>0</v>
      </c>
      <c r="J120" s="93">
        <f t="shared" si="48"/>
        <v>0</v>
      </c>
      <c r="K120" s="94">
        <f t="shared" si="48"/>
        <v>0</v>
      </c>
      <c r="L120" s="95">
        <f t="shared" si="48"/>
        <v>0</v>
      </c>
      <c r="M120" s="96">
        <f t="shared" si="48"/>
        <v>0</v>
      </c>
      <c r="N120" s="97">
        <f t="shared" si="48"/>
        <v>20830155044.642857</v>
      </c>
      <c r="O120" s="97">
        <f t="shared" si="48"/>
        <v>23329773650</v>
      </c>
      <c r="P120" s="97">
        <f t="shared" si="48"/>
        <v>20830155044.642857</v>
      </c>
      <c r="Q120" s="97">
        <f t="shared" si="48"/>
        <v>23329773650</v>
      </c>
      <c r="R120" s="98"/>
      <c r="S120" s="91">
        <f>S121+S122</f>
        <v>0</v>
      </c>
      <c r="T120" s="93">
        <f>T121+T122</f>
        <v>0</v>
      </c>
      <c r="U120" s="93">
        <f t="shared" ref="U120:AD120" si="49">U121+U122</f>
        <v>0</v>
      </c>
      <c r="V120" s="93">
        <f t="shared" si="49"/>
        <v>0</v>
      </c>
      <c r="W120" s="93">
        <f t="shared" si="49"/>
        <v>0</v>
      </c>
      <c r="X120" s="93">
        <f t="shared" si="49"/>
        <v>0</v>
      </c>
      <c r="Y120" s="93">
        <f t="shared" si="49"/>
        <v>0</v>
      </c>
      <c r="Z120" s="93">
        <f t="shared" si="49"/>
        <v>0</v>
      </c>
      <c r="AA120" s="93">
        <f t="shared" si="49"/>
        <v>0</v>
      </c>
      <c r="AB120" s="93">
        <f t="shared" si="49"/>
        <v>0</v>
      </c>
      <c r="AC120" s="93">
        <f t="shared" si="49"/>
        <v>0</v>
      </c>
      <c r="AD120" s="93">
        <f t="shared" si="49"/>
        <v>0</v>
      </c>
      <c r="AE120" s="93"/>
      <c r="AF120" s="93">
        <f>AF121+AF122</f>
        <v>0</v>
      </c>
      <c r="AG120" s="91">
        <f>AG121+AG122</f>
        <v>0</v>
      </c>
      <c r="AH120" s="93"/>
      <c r="AI120" s="91">
        <f>AI121+AI122</f>
        <v>0</v>
      </c>
      <c r="AJ120" s="91">
        <f>AJ121+AJ122</f>
        <v>0</v>
      </c>
      <c r="AK120" s="91"/>
      <c r="AL120" s="99" t="str">
        <f t="shared" si="37"/>
        <v/>
      </c>
      <c r="AM120" s="100">
        <f t="shared" ref="AM120:BF120" si="50">AM121+AM122</f>
        <v>0</v>
      </c>
      <c r="AN120" s="100">
        <f t="shared" si="50"/>
        <v>0</v>
      </c>
      <c r="AO120" s="100">
        <f t="shared" si="50"/>
        <v>0</v>
      </c>
      <c r="AP120" s="91">
        <f t="shared" si="50"/>
        <v>0</v>
      </c>
      <c r="AQ120" s="91">
        <f t="shared" si="50"/>
        <v>0</v>
      </c>
      <c r="AR120" s="91">
        <f t="shared" si="50"/>
        <v>0</v>
      </c>
      <c r="AS120" s="91">
        <f t="shared" si="50"/>
        <v>0</v>
      </c>
      <c r="AT120" s="91">
        <f t="shared" si="50"/>
        <v>0</v>
      </c>
      <c r="AU120" s="91">
        <f t="shared" si="50"/>
        <v>0</v>
      </c>
      <c r="AV120" s="91">
        <f t="shared" si="50"/>
        <v>0</v>
      </c>
      <c r="AW120" s="91">
        <f t="shared" si="50"/>
        <v>0</v>
      </c>
      <c r="AX120" s="91">
        <f t="shared" si="50"/>
        <v>0</v>
      </c>
      <c r="AY120" s="91">
        <f t="shared" si="50"/>
        <v>0</v>
      </c>
      <c r="AZ120" s="91">
        <f t="shared" si="50"/>
        <v>0</v>
      </c>
      <c r="BA120" s="91">
        <f t="shared" si="50"/>
        <v>0</v>
      </c>
      <c r="BB120" s="91">
        <f t="shared" si="50"/>
        <v>0</v>
      </c>
      <c r="BC120" s="91">
        <f t="shared" si="50"/>
        <v>0</v>
      </c>
      <c r="BD120" s="91">
        <f t="shared" si="50"/>
        <v>0</v>
      </c>
      <c r="BE120" s="91">
        <f t="shared" si="50"/>
        <v>0</v>
      </c>
      <c r="BF120" s="91">
        <f t="shared" si="50"/>
        <v>0</v>
      </c>
      <c r="BG120" s="102"/>
      <c r="BH120" s="102">
        <f>BH121+BH122</f>
        <v>0</v>
      </c>
      <c r="BI120" s="91">
        <f>BI121+BI122</f>
        <v>0</v>
      </c>
      <c r="BJ120" s="91">
        <f>BJ121+BJ122</f>
        <v>5678900.0392899998</v>
      </c>
      <c r="BK120" s="91">
        <f>BK121+BK122</f>
        <v>0</v>
      </c>
      <c r="BL120" s="102"/>
      <c r="BM120" s="102"/>
      <c r="BN120" s="102"/>
      <c r="BQ120" s="29"/>
      <c r="BR120" s="107"/>
      <c r="BS120" s="106"/>
    </row>
    <row r="121" spans="1:71" s="118" customFormat="1" outlineLevel="1" x14ac:dyDescent="0.35">
      <c r="A121" s="553"/>
      <c r="B121" s="555"/>
      <c r="C121" s="557" t="s">
        <v>74</v>
      </c>
      <c r="D121" s="108" t="s">
        <v>76</v>
      </c>
      <c r="E121" s="109">
        <f>E125+E128+E134</f>
        <v>0</v>
      </c>
      <c r="F121" s="109">
        <f>F125+F128+F134</f>
        <v>0</v>
      </c>
      <c r="G121" s="110"/>
      <c r="H121" s="109"/>
      <c r="I121" s="111">
        <f>I125+I128+I134</f>
        <v>0</v>
      </c>
      <c r="J121" s="111">
        <f>J125+J128+J134</f>
        <v>0</v>
      </c>
      <c r="K121" s="112">
        <f>K125+K128</f>
        <v>0</v>
      </c>
      <c r="L121" s="113">
        <f>L125+L128</f>
        <v>0</v>
      </c>
      <c r="M121" s="114">
        <f>M125+M128</f>
        <v>0</v>
      </c>
      <c r="N121" s="115">
        <f>N125+N128+N134</f>
        <v>0</v>
      </c>
      <c r="O121" s="115">
        <f>O125+O128+O134</f>
        <v>0</v>
      </c>
      <c r="P121" s="115">
        <f>P125+P128+P134</f>
        <v>0</v>
      </c>
      <c r="Q121" s="115">
        <f>Q125+Q128+Q134</f>
        <v>0</v>
      </c>
      <c r="R121" s="138">
        <f>R125+R128</f>
        <v>0</v>
      </c>
      <c r="S121" s="109">
        <f>S125+S128</f>
        <v>0</v>
      </c>
      <c r="T121" s="111">
        <f>T125+T128+T134</f>
        <v>0</v>
      </c>
      <c r="U121" s="111">
        <f>U125+U128+U134</f>
        <v>0</v>
      </c>
      <c r="V121" s="111">
        <f t="shared" ref="V121:AD121" si="51">V125+V128+V134</f>
        <v>0</v>
      </c>
      <c r="W121" s="111">
        <f t="shared" si="51"/>
        <v>0</v>
      </c>
      <c r="X121" s="111">
        <f t="shared" si="51"/>
        <v>0</v>
      </c>
      <c r="Y121" s="111">
        <f t="shared" si="51"/>
        <v>0</v>
      </c>
      <c r="Z121" s="111">
        <f t="shared" si="51"/>
        <v>0</v>
      </c>
      <c r="AA121" s="111">
        <f t="shared" si="51"/>
        <v>0</v>
      </c>
      <c r="AB121" s="111">
        <f t="shared" si="51"/>
        <v>0</v>
      </c>
      <c r="AC121" s="111">
        <f t="shared" si="51"/>
        <v>0</v>
      </c>
      <c r="AD121" s="111">
        <f t="shared" si="51"/>
        <v>0</v>
      </c>
      <c r="AE121" s="111"/>
      <c r="AF121" s="111">
        <f>AF125+AF128+AF134</f>
        <v>0</v>
      </c>
      <c r="AG121" s="109">
        <f>AG125+AG128+AG134</f>
        <v>0</v>
      </c>
      <c r="AH121" s="111"/>
      <c r="AI121" s="109">
        <f>AI125+AI128+AI134</f>
        <v>0</v>
      </c>
      <c r="AJ121" s="109">
        <f>AJ125+AJ128+AJ134</f>
        <v>0</v>
      </c>
      <c r="AK121" s="109"/>
      <c r="AL121" s="194" t="str">
        <f t="shared" si="37"/>
        <v/>
      </c>
      <c r="AM121" s="195">
        <f t="shared" ref="AM121:BF121" si="52">AM125+AM128+AM134</f>
        <v>0</v>
      </c>
      <c r="AN121" s="195">
        <f t="shared" si="52"/>
        <v>0</v>
      </c>
      <c r="AO121" s="195">
        <f t="shared" si="52"/>
        <v>0</v>
      </c>
      <c r="AP121" s="109">
        <f t="shared" si="52"/>
        <v>0</v>
      </c>
      <c r="AQ121" s="109">
        <f t="shared" si="52"/>
        <v>0</v>
      </c>
      <c r="AR121" s="109">
        <f t="shared" si="52"/>
        <v>0</v>
      </c>
      <c r="AS121" s="109">
        <f t="shared" si="52"/>
        <v>0</v>
      </c>
      <c r="AT121" s="109">
        <f t="shared" si="52"/>
        <v>0</v>
      </c>
      <c r="AU121" s="109">
        <f t="shared" si="52"/>
        <v>0</v>
      </c>
      <c r="AV121" s="109">
        <f t="shared" si="52"/>
        <v>0</v>
      </c>
      <c r="AW121" s="109">
        <f t="shared" si="52"/>
        <v>0</v>
      </c>
      <c r="AX121" s="109">
        <f t="shared" si="52"/>
        <v>0</v>
      </c>
      <c r="AY121" s="109">
        <f t="shared" si="52"/>
        <v>0</v>
      </c>
      <c r="AZ121" s="109">
        <f t="shared" si="52"/>
        <v>0</v>
      </c>
      <c r="BA121" s="109">
        <f t="shared" si="52"/>
        <v>0</v>
      </c>
      <c r="BB121" s="109">
        <f t="shared" si="52"/>
        <v>0</v>
      </c>
      <c r="BC121" s="109">
        <f t="shared" si="52"/>
        <v>0</v>
      </c>
      <c r="BD121" s="109">
        <f t="shared" si="52"/>
        <v>0</v>
      </c>
      <c r="BE121" s="109">
        <f t="shared" si="52"/>
        <v>0</v>
      </c>
      <c r="BF121" s="109">
        <f t="shared" si="52"/>
        <v>0</v>
      </c>
      <c r="BG121" s="117"/>
      <c r="BH121" s="117">
        <f>BH125+BH128</f>
        <v>0</v>
      </c>
      <c r="BI121" s="109">
        <f>BI125+BI128+BI134</f>
        <v>0</v>
      </c>
      <c r="BJ121" s="109">
        <f>BJ125+BJ128+BJ134</f>
        <v>5678900.0392899998</v>
      </c>
      <c r="BK121" s="109">
        <f>BK125+BK128+BK134</f>
        <v>0</v>
      </c>
      <c r="BL121" s="117"/>
      <c r="BM121" s="117"/>
      <c r="BN121" s="117"/>
      <c r="BQ121" s="119"/>
      <c r="BR121" s="120"/>
      <c r="BS121" s="121"/>
    </row>
    <row r="122" spans="1:71" s="118" customFormat="1" outlineLevel="1" x14ac:dyDescent="0.35">
      <c r="A122" s="554"/>
      <c r="B122" s="556"/>
      <c r="C122" s="558"/>
      <c r="D122" s="108" t="s">
        <v>77</v>
      </c>
      <c r="E122" s="109">
        <f>E131</f>
        <v>0</v>
      </c>
      <c r="F122" s="109">
        <f>F131</f>
        <v>0</v>
      </c>
      <c r="G122" s="110"/>
      <c r="H122" s="109"/>
      <c r="I122" s="111">
        <f t="shared" ref="I122:AD122" si="53">I131</f>
        <v>0</v>
      </c>
      <c r="J122" s="111">
        <f t="shared" si="53"/>
        <v>0</v>
      </c>
      <c r="K122" s="112">
        <f t="shared" si="53"/>
        <v>0</v>
      </c>
      <c r="L122" s="113">
        <f t="shared" si="53"/>
        <v>0</v>
      </c>
      <c r="M122" s="114">
        <f t="shared" si="53"/>
        <v>0</v>
      </c>
      <c r="N122" s="115">
        <f t="shared" si="53"/>
        <v>20830155044.642857</v>
      </c>
      <c r="O122" s="115">
        <f t="shared" si="53"/>
        <v>23329773650</v>
      </c>
      <c r="P122" s="115">
        <f t="shared" si="53"/>
        <v>20830155044.642857</v>
      </c>
      <c r="Q122" s="115">
        <f t="shared" si="53"/>
        <v>23329773650</v>
      </c>
      <c r="R122" s="138">
        <f t="shared" si="53"/>
        <v>0</v>
      </c>
      <c r="S122" s="109">
        <f t="shared" si="53"/>
        <v>0</v>
      </c>
      <c r="T122" s="111">
        <f t="shared" si="53"/>
        <v>0</v>
      </c>
      <c r="U122" s="111">
        <f t="shared" si="53"/>
        <v>0</v>
      </c>
      <c r="V122" s="111">
        <f t="shared" si="53"/>
        <v>0</v>
      </c>
      <c r="W122" s="111">
        <f t="shared" si="53"/>
        <v>0</v>
      </c>
      <c r="X122" s="111">
        <f t="shared" si="53"/>
        <v>0</v>
      </c>
      <c r="Y122" s="111">
        <f t="shared" si="53"/>
        <v>0</v>
      </c>
      <c r="Z122" s="111">
        <f t="shared" si="53"/>
        <v>0</v>
      </c>
      <c r="AA122" s="111">
        <f t="shared" si="53"/>
        <v>0</v>
      </c>
      <c r="AB122" s="111">
        <f t="shared" si="53"/>
        <v>0</v>
      </c>
      <c r="AC122" s="111">
        <f t="shared" si="53"/>
        <v>0</v>
      </c>
      <c r="AD122" s="111">
        <f t="shared" si="53"/>
        <v>0</v>
      </c>
      <c r="AE122" s="111"/>
      <c r="AF122" s="111">
        <f>AF131</f>
        <v>0</v>
      </c>
      <c r="AG122" s="109">
        <f>AG131</f>
        <v>0</v>
      </c>
      <c r="AH122" s="111"/>
      <c r="AI122" s="109">
        <f>AI131</f>
        <v>0</v>
      </c>
      <c r="AJ122" s="109">
        <f>AJ131</f>
        <v>0</v>
      </c>
      <c r="AK122" s="109"/>
      <c r="AL122" s="194" t="str">
        <f t="shared" si="37"/>
        <v/>
      </c>
      <c r="AM122" s="195">
        <f t="shared" ref="AM122:BF122" si="54">AM131</f>
        <v>0</v>
      </c>
      <c r="AN122" s="195">
        <f t="shared" si="54"/>
        <v>0</v>
      </c>
      <c r="AO122" s="195">
        <f t="shared" si="54"/>
        <v>0</v>
      </c>
      <c r="AP122" s="109">
        <f t="shared" si="54"/>
        <v>0</v>
      </c>
      <c r="AQ122" s="109">
        <f t="shared" si="54"/>
        <v>0</v>
      </c>
      <c r="AR122" s="109">
        <f t="shared" si="54"/>
        <v>0</v>
      </c>
      <c r="AS122" s="109">
        <f t="shared" si="54"/>
        <v>0</v>
      </c>
      <c r="AT122" s="109">
        <f t="shared" si="54"/>
        <v>0</v>
      </c>
      <c r="AU122" s="109">
        <f t="shared" si="54"/>
        <v>0</v>
      </c>
      <c r="AV122" s="109">
        <f t="shared" si="54"/>
        <v>0</v>
      </c>
      <c r="AW122" s="109">
        <f t="shared" si="54"/>
        <v>0</v>
      </c>
      <c r="AX122" s="109">
        <f t="shared" si="54"/>
        <v>0</v>
      </c>
      <c r="AY122" s="109">
        <f t="shared" si="54"/>
        <v>0</v>
      </c>
      <c r="AZ122" s="109">
        <f t="shared" si="54"/>
        <v>0</v>
      </c>
      <c r="BA122" s="109">
        <f t="shared" si="54"/>
        <v>0</v>
      </c>
      <c r="BB122" s="109">
        <f t="shared" si="54"/>
        <v>0</v>
      </c>
      <c r="BC122" s="109">
        <f t="shared" si="54"/>
        <v>0</v>
      </c>
      <c r="BD122" s="109">
        <f t="shared" si="54"/>
        <v>0</v>
      </c>
      <c r="BE122" s="109">
        <f t="shared" si="54"/>
        <v>0</v>
      </c>
      <c r="BF122" s="109">
        <f t="shared" si="54"/>
        <v>0</v>
      </c>
      <c r="BG122" s="117"/>
      <c r="BH122" s="117">
        <f>BH131</f>
        <v>0</v>
      </c>
      <c r="BI122" s="109">
        <f>BI131</f>
        <v>0</v>
      </c>
      <c r="BJ122" s="109">
        <f>BJ131</f>
        <v>0</v>
      </c>
      <c r="BK122" s="109">
        <f>BK131</f>
        <v>0</v>
      </c>
      <c r="BL122" s="117"/>
      <c r="BM122" s="117"/>
      <c r="BN122" s="117"/>
      <c r="BQ122" s="119"/>
      <c r="BR122" s="120"/>
      <c r="BS122" s="121"/>
    </row>
    <row r="123" spans="1:71" s="103" customFormat="1" hidden="1" outlineLevel="1" x14ac:dyDescent="0.35">
      <c r="A123" s="438"/>
      <c r="B123" s="436" t="s">
        <v>112</v>
      </c>
      <c r="C123" s="122" t="s">
        <v>72</v>
      </c>
      <c r="D123" s="122" t="s">
        <v>73</v>
      </c>
      <c r="E123" s="123"/>
      <c r="F123" s="123">
        <f>E123*1.12</f>
        <v>0</v>
      </c>
      <c r="G123" s="532"/>
      <c r="H123" s="471">
        <f>100-100</f>
        <v>0</v>
      </c>
      <c r="I123" s="124"/>
      <c r="J123" s="124">
        <f t="shared" ref="J123:J134" si="55">I123*1.12</f>
        <v>0</v>
      </c>
      <c r="K123" s="535"/>
      <c r="L123" s="436"/>
      <c r="M123" s="521" t="s">
        <v>113</v>
      </c>
      <c r="N123" s="196">
        <f>P123</f>
        <v>0</v>
      </c>
      <c r="O123" s="125">
        <f>N123*1.12</f>
        <v>0</v>
      </c>
      <c r="P123" s="196"/>
      <c r="Q123" s="125">
        <f>P123*1.12</f>
        <v>0</v>
      </c>
      <c r="R123" s="547"/>
      <c r="S123" s="471">
        <f>500-500</f>
        <v>0</v>
      </c>
      <c r="T123" s="124">
        <f>ROUND(13720.934*V123,0)-2591+2591</f>
        <v>0</v>
      </c>
      <c r="U123" s="124">
        <f>T123*1.12</f>
        <v>0</v>
      </c>
      <c r="V123" s="124">
        <f>3-3</f>
        <v>0</v>
      </c>
      <c r="W123" s="124">
        <f>ROUND(Y123*13720.934,0)-891+891</f>
        <v>0</v>
      </c>
      <c r="X123" s="124">
        <f>W123*1.12</f>
        <v>0</v>
      </c>
      <c r="Y123" s="124">
        <f>4-4</f>
        <v>0</v>
      </c>
      <c r="Z123" s="124">
        <f t="shared" ref="Z123:AB134" si="56">T123+W123</f>
        <v>0</v>
      </c>
      <c r="AA123" s="124">
        <f t="shared" si="56"/>
        <v>0</v>
      </c>
      <c r="AB123" s="124">
        <f t="shared" si="56"/>
        <v>0</v>
      </c>
      <c r="AC123" s="124"/>
      <c r="AD123" s="124">
        <f>AC123*1.12</f>
        <v>0</v>
      </c>
      <c r="AE123" s="124"/>
      <c r="AF123" s="124"/>
      <c r="AG123" s="124">
        <f>AF123*1.12</f>
        <v>0</v>
      </c>
      <c r="AH123" s="124"/>
      <c r="AI123" s="123">
        <f t="shared" ref="AI123:AK134" si="57">AF123-AC123</f>
        <v>0</v>
      </c>
      <c r="AJ123" s="123">
        <f t="shared" si="57"/>
        <v>0</v>
      </c>
      <c r="AK123" s="123">
        <f t="shared" si="57"/>
        <v>0</v>
      </c>
      <c r="AL123" s="126" t="str">
        <f t="shared" si="37"/>
        <v/>
      </c>
      <c r="AM123" s="127"/>
      <c r="AN123" s="127"/>
      <c r="AO123" s="127"/>
      <c r="AP123" s="123">
        <f>ROUND(13720.934*AR123,0)</f>
        <v>0</v>
      </c>
      <c r="AQ123" s="123">
        <f t="shared" ref="AQ123:AQ134" si="58">AP123*1.12</f>
        <v>0</v>
      </c>
      <c r="AR123" s="123"/>
      <c r="AS123" s="123"/>
      <c r="AT123" s="123"/>
      <c r="AU123" s="123"/>
      <c r="AV123" s="123"/>
      <c r="AW123" s="123">
        <f>AF123-AC123</f>
        <v>0</v>
      </c>
      <c r="AX123" s="123"/>
      <c r="AY123" s="123"/>
      <c r="AZ123" s="123"/>
      <c r="BA123" s="123"/>
      <c r="BB123" s="123"/>
      <c r="BC123" s="123"/>
      <c r="BD123" s="123"/>
      <c r="BE123" s="123"/>
      <c r="BF123" s="123"/>
      <c r="BG123" s="440"/>
      <c r="BH123" s="128"/>
      <c r="BI123" s="128"/>
      <c r="BJ123" s="128"/>
      <c r="BK123" s="128"/>
      <c r="BL123" s="128"/>
      <c r="BM123" s="128"/>
      <c r="BN123" s="128"/>
      <c r="BQ123" s="29"/>
      <c r="BR123" s="107"/>
      <c r="BS123" s="106"/>
    </row>
    <row r="124" spans="1:71" s="103" customFormat="1" hidden="1" outlineLevel="1" x14ac:dyDescent="0.35">
      <c r="A124" s="499"/>
      <c r="B124" s="470"/>
      <c r="C124" s="122" t="s">
        <v>74</v>
      </c>
      <c r="D124" s="122" t="s">
        <v>75</v>
      </c>
      <c r="E124" s="123">
        <f>E123</f>
        <v>0</v>
      </c>
      <c r="F124" s="123">
        <f t="shared" ref="F124:F134" si="59">E124*1.12</f>
        <v>0</v>
      </c>
      <c r="G124" s="533"/>
      <c r="H124" s="472"/>
      <c r="I124" s="124"/>
      <c r="J124" s="124">
        <f t="shared" si="55"/>
        <v>0</v>
      </c>
      <c r="K124" s="536"/>
      <c r="L124" s="470"/>
      <c r="M124" s="522"/>
      <c r="N124" s="196">
        <f>P124</f>
        <v>0</v>
      </c>
      <c r="O124" s="125">
        <f t="shared" ref="O124:Q125" si="60">N124*1.12</f>
        <v>0</v>
      </c>
      <c r="P124" s="196">
        <f>P123</f>
        <v>0</v>
      </c>
      <c r="Q124" s="125">
        <f t="shared" si="60"/>
        <v>0</v>
      </c>
      <c r="R124" s="548"/>
      <c r="S124" s="472"/>
      <c r="T124" s="124"/>
      <c r="U124" s="124"/>
      <c r="V124" s="124"/>
      <c r="W124" s="124"/>
      <c r="X124" s="124"/>
      <c r="Y124" s="124"/>
      <c r="Z124" s="124">
        <f t="shared" si="56"/>
        <v>0</v>
      </c>
      <c r="AA124" s="124">
        <f t="shared" si="56"/>
        <v>0</v>
      </c>
      <c r="AB124" s="124">
        <f t="shared" si="56"/>
        <v>0</v>
      </c>
      <c r="AC124" s="124"/>
      <c r="AD124" s="124">
        <f>AC124*1.12</f>
        <v>0</v>
      </c>
      <c r="AE124" s="124"/>
      <c r="AF124" s="124"/>
      <c r="AG124" s="124">
        <f>AF124*1.12</f>
        <v>0</v>
      </c>
      <c r="AH124" s="124"/>
      <c r="AI124" s="123">
        <f t="shared" si="57"/>
        <v>0</v>
      </c>
      <c r="AJ124" s="123">
        <f t="shared" si="57"/>
        <v>0</v>
      </c>
      <c r="AK124" s="123">
        <f t="shared" si="57"/>
        <v>0</v>
      </c>
      <c r="AL124" s="126" t="str">
        <f t="shared" si="37"/>
        <v/>
      </c>
      <c r="AM124" s="127"/>
      <c r="AN124" s="127"/>
      <c r="AO124" s="127"/>
      <c r="AP124" s="123"/>
      <c r="AQ124" s="123">
        <f t="shared" si="58"/>
        <v>0</v>
      </c>
      <c r="AR124" s="123"/>
      <c r="AS124" s="123"/>
      <c r="AT124" s="123"/>
      <c r="AU124" s="123"/>
      <c r="AV124" s="123"/>
      <c r="AW124" s="123"/>
      <c r="AX124" s="123"/>
      <c r="AY124" s="123"/>
      <c r="AZ124" s="123"/>
      <c r="BA124" s="123"/>
      <c r="BB124" s="123"/>
      <c r="BC124" s="123"/>
      <c r="BD124" s="123"/>
      <c r="BE124" s="123"/>
      <c r="BF124" s="123"/>
      <c r="BG124" s="527"/>
      <c r="BH124" s="128"/>
      <c r="BI124" s="128"/>
      <c r="BJ124" s="128"/>
      <c r="BK124" s="128"/>
      <c r="BL124" s="128"/>
      <c r="BM124" s="128"/>
      <c r="BN124" s="128"/>
      <c r="BQ124" s="29"/>
      <c r="BR124" s="107"/>
      <c r="BS124" s="106"/>
    </row>
    <row r="125" spans="1:71" ht="14.5" hidden="1" outlineLevel="1" x14ac:dyDescent="0.35">
      <c r="A125" s="439"/>
      <c r="B125" s="437"/>
      <c r="C125" s="129" t="s">
        <v>74</v>
      </c>
      <c r="D125" s="129" t="s">
        <v>76</v>
      </c>
      <c r="E125" s="130">
        <f>E124</f>
        <v>0</v>
      </c>
      <c r="F125" s="130">
        <f t="shared" si="59"/>
        <v>0</v>
      </c>
      <c r="G125" s="534"/>
      <c r="H125" s="473"/>
      <c r="I125" s="131">
        <f>I124</f>
        <v>0</v>
      </c>
      <c r="J125" s="124">
        <f t="shared" si="55"/>
        <v>0</v>
      </c>
      <c r="K125" s="537"/>
      <c r="L125" s="437"/>
      <c r="M125" s="523"/>
      <c r="N125" s="197">
        <f>P125</f>
        <v>0</v>
      </c>
      <c r="O125" s="132">
        <f t="shared" si="60"/>
        <v>0</v>
      </c>
      <c r="P125" s="197">
        <f>P124</f>
        <v>0</v>
      </c>
      <c r="Q125" s="132">
        <f t="shared" si="60"/>
        <v>0</v>
      </c>
      <c r="R125" s="549"/>
      <c r="S125" s="473"/>
      <c r="T125" s="131"/>
      <c r="U125" s="131"/>
      <c r="V125" s="131"/>
      <c r="W125" s="131"/>
      <c r="X125" s="131"/>
      <c r="Y125" s="131"/>
      <c r="Z125" s="131">
        <f t="shared" si="56"/>
        <v>0</v>
      </c>
      <c r="AA125" s="131">
        <f t="shared" si="56"/>
        <v>0</v>
      </c>
      <c r="AB125" s="131">
        <f t="shared" si="56"/>
        <v>0</v>
      </c>
      <c r="AC125" s="131"/>
      <c r="AD125" s="131">
        <f>AC125*1.12</f>
        <v>0</v>
      </c>
      <c r="AE125" s="131"/>
      <c r="AF125" s="131"/>
      <c r="AG125" s="131">
        <f>AF125*1.12</f>
        <v>0</v>
      </c>
      <c r="AH125" s="131"/>
      <c r="AI125" s="130">
        <f t="shared" si="57"/>
        <v>0</v>
      </c>
      <c r="AJ125" s="130">
        <f t="shared" si="57"/>
        <v>0</v>
      </c>
      <c r="AK125" s="130">
        <f t="shared" si="57"/>
        <v>0</v>
      </c>
      <c r="AL125" s="133" t="str">
        <f t="shared" si="37"/>
        <v/>
      </c>
      <c r="AM125" s="134"/>
      <c r="AN125" s="134"/>
      <c r="AO125" s="134"/>
      <c r="AP125" s="130">
        <f>AP124</f>
        <v>0</v>
      </c>
      <c r="AQ125" s="130">
        <f t="shared" si="58"/>
        <v>0</v>
      </c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441"/>
      <c r="BH125" s="135"/>
      <c r="BI125" s="135"/>
      <c r="BJ125" s="135"/>
      <c r="BK125" s="135"/>
      <c r="BL125" s="135"/>
      <c r="BM125" s="135"/>
      <c r="BN125" s="135"/>
      <c r="BQ125" s="27"/>
      <c r="BR125" s="28"/>
      <c r="BS125" s="31"/>
    </row>
    <row r="126" spans="1:71" s="103" customFormat="1" hidden="1" outlineLevel="1" x14ac:dyDescent="0.35">
      <c r="A126" s="438"/>
      <c r="B126" s="436" t="s">
        <v>112</v>
      </c>
      <c r="C126" s="122" t="s">
        <v>72</v>
      </c>
      <c r="D126" s="122" t="s">
        <v>73</v>
      </c>
      <c r="E126" s="123">
        <f>798750-798750</f>
        <v>0</v>
      </c>
      <c r="F126" s="123">
        <f t="shared" si="59"/>
        <v>0</v>
      </c>
      <c r="G126" s="532"/>
      <c r="H126" s="471">
        <f>71-71</f>
        <v>0</v>
      </c>
      <c r="I126" s="124"/>
      <c r="J126" s="124">
        <f t="shared" si="55"/>
        <v>0</v>
      </c>
      <c r="K126" s="535"/>
      <c r="L126" s="436"/>
      <c r="M126" s="521" t="s">
        <v>113</v>
      </c>
      <c r="N126" s="125"/>
      <c r="O126" s="125">
        <f>N126*1.12</f>
        <v>0</v>
      </c>
      <c r="P126" s="125">
        <f>N126</f>
        <v>0</v>
      </c>
      <c r="Q126" s="125">
        <f>P126*1.12</f>
        <v>0</v>
      </c>
      <c r="R126" s="538"/>
      <c r="S126" s="471">
        <f>71-71</f>
        <v>0</v>
      </c>
      <c r="T126" s="124"/>
      <c r="U126" s="124"/>
      <c r="V126" s="124"/>
      <c r="W126" s="124"/>
      <c r="X126" s="124"/>
      <c r="Y126" s="124"/>
      <c r="Z126" s="124">
        <f t="shared" si="56"/>
        <v>0</v>
      </c>
      <c r="AA126" s="124">
        <f t="shared" si="56"/>
        <v>0</v>
      </c>
      <c r="AB126" s="124">
        <f t="shared" si="56"/>
        <v>0</v>
      </c>
      <c r="AC126" s="124"/>
      <c r="AD126" s="124"/>
      <c r="AE126" s="124"/>
      <c r="AF126" s="124"/>
      <c r="AG126" s="123">
        <f>AF126*1.12</f>
        <v>0</v>
      </c>
      <c r="AH126" s="124"/>
      <c r="AI126" s="123">
        <f t="shared" si="57"/>
        <v>0</v>
      </c>
      <c r="AJ126" s="198">
        <f t="shared" si="57"/>
        <v>0</v>
      </c>
      <c r="AK126" s="123">
        <f t="shared" si="57"/>
        <v>0</v>
      </c>
      <c r="AL126" s="126" t="str">
        <f t="shared" si="37"/>
        <v/>
      </c>
      <c r="AM126" s="127"/>
      <c r="AN126" s="127"/>
      <c r="AO126" s="127"/>
      <c r="AP126" s="123"/>
      <c r="AQ126" s="123">
        <f t="shared" si="58"/>
        <v>0</v>
      </c>
      <c r="AR126" s="123"/>
      <c r="AS126" s="123"/>
      <c r="AT126" s="123"/>
      <c r="AU126" s="123"/>
      <c r="AV126" s="123"/>
      <c r="AW126" s="123">
        <f>AF126-AC126</f>
        <v>0</v>
      </c>
      <c r="AX126" s="123"/>
      <c r="AY126" s="123"/>
      <c r="AZ126" s="123"/>
      <c r="BA126" s="123"/>
      <c r="BB126" s="123"/>
      <c r="BC126" s="123"/>
      <c r="BD126" s="123"/>
      <c r="BE126" s="123"/>
      <c r="BF126" s="123"/>
      <c r="BG126" s="440"/>
      <c r="BH126" s="128"/>
      <c r="BI126" s="128"/>
      <c r="BJ126" s="128"/>
      <c r="BK126" s="128"/>
      <c r="BL126" s="128"/>
      <c r="BM126" s="128"/>
      <c r="BN126" s="128"/>
      <c r="BQ126" s="29"/>
      <c r="BR126" s="107"/>
      <c r="BS126" s="106"/>
    </row>
    <row r="127" spans="1:71" s="103" customFormat="1" hidden="1" outlineLevel="1" x14ac:dyDescent="0.35">
      <c r="A127" s="499"/>
      <c r="B127" s="470"/>
      <c r="C127" s="122" t="s">
        <v>74</v>
      </c>
      <c r="D127" s="122" t="s">
        <v>75</v>
      </c>
      <c r="E127" s="123">
        <f>798750-798750</f>
        <v>0</v>
      </c>
      <c r="F127" s="123">
        <f t="shared" si="59"/>
        <v>0</v>
      </c>
      <c r="G127" s="533"/>
      <c r="H127" s="472"/>
      <c r="I127" s="124"/>
      <c r="J127" s="124">
        <f t="shared" si="55"/>
        <v>0</v>
      </c>
      <c r="K127" s="536"/>
      <c r="L127" s="470"/>
      <c r="M127" s="522"/>
      <c r="N127" s="125">
        <f>N126</f>
        <v>0</v>
      </c>
      <c r="O127" s="125">
        <f t="shared" ref="O127:Q128" si="61">N127*1.12</f>
        <v>0</v>
      </c>
      <c r="P127" s="125">
        <f>P126</f>
        <v>0</v>
      </c>
      <c r="Q127" s="125">
        <f t="shared" si="61"/>
        <v>0</v>
      </c>
      <c r="R127" s="539"/>
      <c r="S127" s="472"/>
      <c r="T127" s="124"/>
      <c r="U127" s="124"/>
      <c r="V127" s="124"/>
      <c r="W127" s="124"/>
      <c r="X127" s="124"/>
      <c r="Y127" s="124"/>
      <c r="Z127" s="124">
        <f t="shared" si="56"/>
        <v>0</v>
      </c>
      <c r="AA127" s="124">
        <f t="shared" si="56"/>
        <v>0</v>
      </c>
      <c r="AB127" s="124">
        <f t="shared" si="56"/>
        <v>0</v>
      </c>
      <c r="AC127" s="124"/>
      <c r="AD127" s="124"/>
      <c r="AE127" s="124"/>
      <c r="AF127" s="124"/>
      <c r="AG127" s="123"/>
      <c r="AH127" s="124"/>
      <c r="AI127" s="123">
        <f t="shared" si="57"/>
        <v>0</v>
      </c>
      <c r="AJ127" s="123">
        <f t="shared" si="57"/>
        <v>0</v>
      </c>
      <c r="AK127" s="123">
        <f t="shared" si="57"/>
        <v>0</v>
      </c>
      <c r="AL127" s="126" t="str">
        <f t="shared" si="37"/>
        <v/>
      </c>
      <c r="AM127" s="127"/>
      <c r="AN127" s="127"/>
      <c r="AO127" s="127"/>
      <c r="AP127" s="123"/>
      <c r="AQ127" s="123">
        <f t="shared" si="58"/>
        <v>0</v>
      </c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3"/>
      <c r="BG127" s="527"/>
      <c r="BH127" s="128"/>
      <c r="BI127" s="128"/>
      <c r="BJ127" s="128"/>
      <c r="BK127" s="128"/>
      <c r="BL127" s="128"/>
      <c r="BM127" s="128"/>
      <c r="BN127" s="128"/>
      <c r="BQ127" s="29"/>
      <c r="BR127" s="107"/>
      <c r="BS127" s="106"/>
    </row>
    <row r="128" spans="1:71" ht="14.5" hidden="1" outlineLevel="1" x14ac:dyDescent="0.35">
      <c r="A128" s="439"/>
      <c r="B128" s="437"/>
      <c r="C128" s="129" t="s">
        <v>74</v>
      </c>
      <c r="D128" s="129" t="s">
        <v>76</v>
      </c>
      <c r="E128" s="130">
        <f>E127</f>
        <v>0</v>
      </c>
      <c r="F128" s="130">
        <f t="shared" si="59"/>
        <v>0</v>
      </c>
      <c r="G128" s="534"/>
      <c r="H128" s="473"/>
      <c r="I128" s="131">
        <f>I127</f>
        <v>0</v>
      </c>
      <c r="J128" s="124">
        <f t="shared" si="55"/>
        <v>0</v>
      </c>
      <c r="K128" s="537"/>
      <c r="L128" s="437"/>
      <c r="M128" s="523"/>
      <c r="N128" s="132">
        <f>N127</f>
        <v>0</v>
      </c>
      <c r="O128" s="132">
        <f t="shared" si="61"/>
        <v>0</v>
      </c>
      <c r="P128" s="132">
        <f>P127</f>
        <v>0</v>
      </c>
      <c r="Q128" s="132">
        <f t="shared" si="61"/>
        <v>0</v>
      </c>
      <c r="R128" s="540"/>
      <c r="S128" s="473"/>
      <c r="T128" s="131"/>
      <c r="U128" s="131"/>
      <c r="V128" s="131"/>
      <c r="W128" s="131"/>
      <c r="X128" s="131"/>
      <c r="Y128" s="131"/>
      <c r="Z128" s="131">
        <f t="shared" si="56"/>
        <v>0</v>
      </c>
      <c r="AA128" s="131">
        <f t="shared" si="56"/>
        <v>0</v>
      </c>
      <c r="AB128" s="131">
        <f t="shared" si="56"/>
        <v>0</v>
      </c>
      <c r="AC128" s="131"/>
      <c r="AD128" s="131"/>
      <c r="AE128" s="131"/>
      <c r="AF128" s="131"/>
      <c r="AG128" s="130"/>
      <c r="AH128" s="131"/>
      <c r="AI128" s="130">
        <f t="shared" si="57"/>
        <v>0</v>
      </c>
      <c r="AJ128" s="130">
        <f t="shared" si="57"/>
        <v>0</v>
      </c>
      <c r="AK128" s="130">
        <f t="shared" si="57"/>
        <v>0</v>
      </c>
      <c r="AL128" s="133" t="str">
        <f t="shared" si="37"/>
        <v/>
      </c>
      <c r="AM128" s="134"/>
      <c r="AN128" s="134"/>
      <c r="AO128" s="134"/>
      <c r="AP128" s="130"/>
      <c r="AQ128" s="130">
        <f t="shared" si="58"/>
        <v>0</v>
      </c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441"/>
      <c r="BH128" s="135"/>
      <c r="BI128" s="135"/>
      <c r="BJ128" s="135"/>
      <c r="BK128" s="135"/>
      <c r="BL128" s="135"/>
      <c r="BM128" s="135"/>
      <c r="BN128" s="135"/>
      <c r="BQ128" s="27"/>
      <c r="BR128" s="28"/>
      <c r="BS128" s="31"/>
    </row>
    <row r="129" spans="1:71" s="103" customFormat="1" ht="24.5" customHeight="1" outlineLevel="1" collapsed="1" x14ac:dyDescent="0.35">
      <c r="A129" s="438"/>
      <c r="B129" s="436" t="s">
        <v>112</v>
      </c>
      <c r="C129" s="122" t="s">
        <v>72</v>
      </c>
      <c r="D129" s="122" t="s">
        <v>73</v>
      </c>
      <c r="E129" s="123"/>
      <c r="F129" s="123">
        <f t="shared" si="59"/>
        <v>0</v>
      </c>
      <c r="G129" s="532">
        <v>2021</v>
      </c>
      <c r="H129" s="471">
        <v>1000</v>
      </c>
      <c r="I129" s="124"/>
      <c r="J129" s="124">
        <f t="shared" si="55"/>
        <v>0</v>
      </c>
      <c r="K129" s="541" t="s">
        <v>114</v>
      </c>
      <c r="L129" s="544" t="s">
        <v>115</v>
      </c>
      <c r="M129" s="521" t="s">
        <v>113</v>
      </c>
      <c r="N129" s="125">
        <f t="shared" ref="N129:N134" si="62">O129/1.12</f>
        <v>20830155044.642857</v>
      </c>
      <c r="O129" s="125">
        <f>Q129</f>
        <v>23329773650</v>
      </c>
      <c r="P129" s="125">
        <f t="shared" ref="P129:P134" si="63">Q129/1.12</f>
        <v>20830155044.642857</v>
      </c>
      <c r="Q129" s="125">
        <f>23329773650</f>
        <v>23329773650</v>
      </c>
      <c r="R129" s="524" t="s">
        <v>116</v>
      </c>
      <c r="S129" s="471"/>
      <c r="T129" s="124"/>
      <c r="U129" s="124">
        <f>T129*1.12</f>
        <v>0</v>
      </c>
      <c r="V129" s="124"/>
      <c r="W129" s="189"/>
      <c r="X129" s="123">
        <f t="shared" ref="X129:X134" si="64">W129*1.12</f>
        <v>0</v>
      </c>
      <c r="Y129" s="189"/>
      <c r="Z129" s="124">
        <f t="shared" si="56"/>
        <v>0</v>
      </c>
      <c r="AA129" s="124">
        <f t="shared" si="56"/>
        <v>0</v>
      </c>
      <c r="AB129" s="124">
        <f t="shared" si="56"/>
        <v>0</v>
      </c>
      <c r="AC129" s="124"/>
      <c r="AD129" s="124">
        <f t="shared" ref="AD129:AD134" si="65">AC129*1.12</f>
        <v>0</v>
      </c>
      <c r="AE129" s="124"/>
      <c r="AF129" s="189">
        <f>ROUND(13466.28113*AH129,0)</f>
        <v>0</v>
      </c>
      <c r="AG129" s="123">
        <f t="shared" ref="AG129:AG134" si="66">AF129*1.12</f>
        <v>0</v>
      </c>
      <c r="AH129" s="189"/>
      <c r="AI129" s="123">
        <f>AF129-AC129</f>
        <v>0</v>
      </c>
      <c r="AJ129" s="123">
        <f t="shared" si="57"/>
        <v>0</v>
      </c>
      <c r="AK129" s="123">
        <f t="shared" si="57"/>
        <v>0</v>
      </c>
      <c r="AL129" s="126" t="str">
        <f t="shared" si="37"/>
        <v/>
      </c>
      <c r="AM129" s="127"/>
      <c r="AN129" s="127"/>
      <c r="AO129" s="127"/>
      <c r="AP129" s="123">
        <f>ROUND(13461.56958*AR129,0)</f>
        <v>0</v>
      </c>
      <c r="AQ129" s="123">
        <f t="shared" si="58"/>
        <v>0</v>
      </c>
      <c r="AR129" s="123"/>
      <c r="AS129" s="123"/>
      <c r="AT129" s="123"/>
      <c r="AU129" s="123"/>
      <c r="AV129" s="123"/>
      <c r="AW129" s="123">
        <f>AI129-BF129-AZ129</f>
        <v>0</v>
      </c>
      <c r="AX129" s="123"/>
      <c r="AY129" s="123"/>
      <c r="AZ129" s="123"/>
      <c r="BA129" s="123"/>
      <c r="BB129" s="123"/>
      <c r="BC129" s="123"/>
      <c r="BD129" s="123"/>
      <c r="BE129" s="123"/>
      <c r="BF129" s="123"/>
      <c r="BG129" s="440"/>
      <c r="BH129" s="128"/>
      <c r="BI129" s="128"/>
      <c r="BJ129" s="128"/>
      <c r="BK129" s="128"/>
      <c r="BL129" s="128"/>
      <c r="BM129" s="128"/>
      <c r="BN129" s="128"/>
      <c r="BQ129" s="29"/>
      <c r="BR129" s="107"/>
      <c r="BS129" s="106"/>
    </row>
    <row r="130" spans="1:71" s="103" customFormat="1" ht="24.5" customHeight="1" outlineLevel="1" x14ac:dyDescent="0.35">
      <c r="A130" s="499"/>
      <c r="B130" s="470"/>
      <c r="C130" s="122" t="s">
        <v>74</v>
      </c>
      <c r="D130" s="122" t="s">
        <v>75</v>
      </c>
      <c r="E130" s="123"/>
      <c r="F130" s="123">
        <f t="shared" si="59"/>
        <v>0</v>
      </c>
      <c r="G130" s="533"/>
      <c r="H130" s="472"/>
      <c r="I130" s="124"/>
      <c r="J130" s="124">
        <f t="shared" si="55"/>
        <v>0</v>
      </c>
      <c r="K130" s="542"/>
      <c r="L130" s="545"/>
      <c r="M130" s="522"/>
      <c r="N130" s="125">
        <f t="shared" si="62"/>
        <v>20830155044.642857</v>
      </c>
      <c r="O130" s="125">
        <f>O129</f>
        <v>23329773650</v>
      </c>
      <c r="P130" s="125">
        <f t="shared" si="63"/>
        <v>20830155044.642857</v>
      </c>
      <c r="Q130" s="125">
        <f>Q129</f>
        <v>23329773650</v>
      </c>
      <c r="R130" s="525"/>
      <c r="S130" s="472"/>
      <c r="T130" s="124"/>
      <c r="U130" s="124">
        <f>T130*1.12</f>
        <v>0</v>
      </c>
      <c r="V130" s="124"/>
      <c r="W130" s="124"/>
      <c r="X130" s="123">
        <f t="shared" si="64"/>
        <v>0</v>
      </c>
      <c r="Y130" s="124"/>
      <c r="Z130" s="124">
        <f t="shared" si="56"/>
        <v>0</v>
      </c>
      <c r="AA130" s="124">
        <f t="shared" si="56"/>
        <v>0</v>
      </c>
      <c r="AB130" s="124">
        <f t="shared" si="56"/>
        <v>0</v>
      </c>
      <c r="AC130" s="124"/>
      <c r="AD130" s="124">
        <f t="shared" si="65"/>
        <v>0</v>
      </c>
      <c r="AE130" s="124"/>
      <c r="AF130" s="124"/>
      <c r="AG130" s="123">
        <f t="shared" si="66"/>
        <v>0</v>
      </c>
      <c r="AH130" s="124"/>
      <c r="AI130" s="123">
        <f t="shared" si="57"/>
        <v>0</v>
      </c>
      <c r="AJ130" s="123">
        <f t="shared" si="57"/>
        <v>0</v>
      </c>
      <c r="AK130" s="123">
        <f t="shared" si="57"/>
        <v>0</v>
      </c>
      <c r="AL130" s="126" t="str">
        <f t="shared" si="37"/>
        <v/>
      </c>
      <c r="AM130" s="127"/>
      <c r="AN130" s="199"/>
      <c r="AO130" s="127">
        <f>AF130-AM130-AN130</f>
        <v>0</v>
      </c>
      <c r="AP130" s="123">
        <f>I130</f>
        <v>0</v>
      </c>
      <c r="AQ130" s="123">
        <f t="shared" si="58"/>
        <v>0</v>
      </c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527"/>
      <c r="BH130" s="128"/>
      <c r="BI130" s="128"/>
      <c r="BJ130" s="128"/>
      <c r="BK130" s="128"/>
      <c r="BL130" s="128"/>
      <c r="BM130" s="128"/>
      <c r="BN130" s="128"/>
      <c r="BQ130" s="29"/>
      <c r="BR130" s="107"/>
      <c r="BS130" s="106"/>
    </row>
    <row r="131" spans="1:71" ht="31.5" customHeight="1" outlineLevel="1" x14ac:dyDescent="0.35">
      <c r="A131" s="439"/>
      <c r="B131" s="437"/>
      <c r="C131" s="129" t="s">
        <v>74</v>
      </c>
      <c r="D131" s="129" t="s">
        <v>77</v>
      </c>
      <c r="E131" s="130">
        <f>E130</f>
        <v>0</v>
      </c>
      <c r="F131" s="130">
        <f t="shared" si="59"/>
        <v>0</v>
      </c>
      <c r="G131" s="534"/>
      <c r="H131" s="473"/>
      <c r="I131" s="131">
        <f>I130</f>
        <v>0</v>
      </c>
      <c r="J131" s="131">
        <f t="shared" si="55"/>
        <v>0</v>
      </c>
      <c r="K131" s="543"/>
      <c r="L131" s="546"/>
      <c r="M131" s="523"/>
      <c r="N131" s="132">
        <f t="shared" si="62"/>
        <v>20830155044.642857</v>
      </c>
      <c r="O131" s="132">
        <f>O130</f>
        <v>23329773650</v>
      </c>
      <c r="P131" s="132">
        <f t="shared" si="63"/>
        <v>20830155044.642857</v>
      </c>
      <c r="Q131" s="132">
        <f>Q130</f>
        <v>23329773650</v>
      </c>
      <c r="R131" s="526"/>
      <c r="S131" s="473"/>
      <c r="T131" s="131">
        <f>T130</f>
        <v>0</v>
      </c>
      <c r="U131" s="131">
        <f>T131*1.12</f>
        <v>0</v>
      </c>
      <c r="V131" s="131"/>
      <c r="W131" s="131">
        <f>W130</f>
        <v>0</v>
      </c>
      <c r="X131" s="130">
        <f t="shared" si="64"/>
        <v>0</v>
      </c>
      <c r="Y131" s="131"/>
      <c r="Z131" s="131">
        <f t="shared" si="56"/>
        <v>0</v>
      </c>
      <c r="AA131" s="131">
        <f t="shared" si="56"/>
        <v>0</v>
      </c>
      <c r="AB131" s="131">
        <f t="shared" si="56"/>
        <v>0</v>
      </c>
      <c r="AC131" s="131">
        <f>AC130</f>
        <v>0</v>
      </c>
      <c r="AD131" s="131">
        <f t="shared" si="65"/>
        <v>0</v>
      </c>
      <c r="AE131" s="131"/>
      <c r="AF131" s="131">
        <f>AF130</f>
        <v>0</v>
      </c>
      <c r="AG131" s="130">
        <f t="shared" si="66"/>
        <v>0</v>
      </c>
      <c r="AH131" s="131"/>
      <c r="AI131" s="130">
        <f t="shared" si="57"/>
        <v>0</v>
      </c>
      <c r="AJ131" s="130">
        <f t="shared" si="57"/>
        <v>0</v>
      </c>
      <c r="AK131" s="130">
        <f t="shared" si="57"/>
        <v>0</v>
      </c>
      <c r="AL131" s="133" t="str">
        <f t="shared" si="37"/>
        <v/>
      </c>
      <c r="AM131" s="134">
        <f>AM130</f>
        <v>0</v>
      </c>
      <c r="AN131" s="134">
        <f>AN130</f>
        <v>0</v>
      </c>
      <c r="AO131" s="134">
        <f>AO130</f>
        <v>0</v>
      </c>
      <c r="AP131" s="130">
        <f>AP130</f>
        <v>0</v>
      </c>
      <c r="AQ131" s="130">
        <f t="shared" si="58"/>
        <v>0</v>
      </c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441"/>
      <c r="BH131" s="135"/>
      <c r="BI131" s="135"/>
      <c r="BJ131" s="135"/>
      <c r="BK131" s="135"/>
      <c r="BL131" s="135"/>
      <c r="BM131" s="135"/>
      <c r="BN131" s="135"/>
      <c r="BQ131" s="27"/>
      <c r="BR131" s="28"/>
      <c r="BS131" s="31"/>
    </row>
    <row r="132" spans="1:71" s="103" customFormat="1" ht="21.75" hidden="1" customHeight="1" outlineLevel="1" x14ac:dyDescent="0.35">
      <c r="A132" s="438"/>
      <c r="B132" s="436" t="s">
        <v>112</v>
      </c>
      <c r="C132" s="122" t="s">
        <v>72</v>
      </c>
      <c r="D132" s="122" t="s">
        <v>73</v>
      </c>
      <c r="E132" s="123"/>
      <c r="F132" s="123">
        <f t="shared" si="59"/>
        <v>0</v>
      </c>
      <c r="G132" s="532"/>
      <c r="H132" s="471"/>
      <c r="I132" s="124"/>
      <c r="J132" s="124">
        <f t="shared" si="55"/>
        <v>0</v>
      </c>
      <c r="K132" s="535"/>
      <c r="L132" s="436"/>
      <c r="M132" s="521" t="s">
        <v>113</v>
      </c>
      <c r="N132" s="125">
        <f t="shared" si="62"/>
        <v>0</v>
      </c>
      <c r="O132" s="125">
        <f>Q132</f>
        <v>0</v>
      </c>
      <c r="P132" s="125">
        <f t="shared" si="63"/>
        <v>0</v>
      </c>
      <c r="Q132" s="125"/>
      <c r="R132" s="524"/>
      <c r="S132" s="471"/>
      <c r="T132" s="124"/>
      <c r="U132" s="124"/>
      <c r="V132" s="124"/>
      <c r="W132" s="124"/>
      <c r="X132" s="123">
        <f t="shared" si="64"/>
        <v>0</v>
      </c>
      <c r="Y132" s="124"/>
      <c r="Z132" s="124">
        <f t="shared" si="56"/>
        <v>0</v>
      </c>
      <c r="AA132" s="124">
        <f t="shared" si="56"/>
        <v>0</v>
      </c>
      <c r="AB132" s="124">
        <f t="shared" si="56"/>
        <v>0</v>
      </c>
      <c r="AC132" s="124"/>
      <c r="AD132" s="124">
        <f t="shared" si="65"/>
        <v>0</v>
      </c>
      <c r="AE132" s="124"/>
      <c r="AF132" s="124">
        <f>ROUND(AH132*15300,0)</f>
        <v>0</v>
      </c>
      <c r="AG132" s="123">
        <f t="shared" si="66"/>
        <v>0</v>
      </c>
      <c r="AH132" s="124"/>
      <c r="AI132" s="123">
        <f t="shared" si="57"/>
        <v>0</v>
      </c>
      <c r="AJ132" s="123">
        <f t="shared" si="57"/>
        <v>0</v>
      </c>
      <c r="AK132" s="123">
        <f t="shared" si="57"/>
        <v>0</v>
      </c>
      <c r="AL132" s="126" t="str">
        <f t="shared" si="37"/>
        <v/>
      </c>
      <c r="AM132" s="127"/>
      <c r="AN132" s="127"/>
      <c r="AO132" s="127"/>
      <c r="AP132" s="123">
        <f>ROUND(15300*AR132,0)</f>
        <v>0</v>
      </c>
      <c r="AQ132" s="123">
        <f t="shared" si="58"/>
        <v>0</v>
      </c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23"/>
      <c r="BD132" s="123"/>
      <c r="BE132" s="123"/>
      <c r="BF132" s="123"/>
      <c r="BG132" s="440"/>
      <c r="BH132" s="128"/>
      <c r="BI132" s="128"/>
      <c r="BJ132" s="128"/>
      <c r="BK132" s="128"/>
      <c r="BL132" s="128"/>
      <c r="BM132" s="128"/>
      <c r="BN132" s="128"/>
      <c r="BQ132" s="29"/>
      <c r="BR132" s="107"/>
      <c r="BS132" s="106"/>
    </row>
    <row r="133" spans="1:71" s="103" customFormat="1" ht="21.75" hidden="1" customHeight="1" outlineLevel="1" x14ac:dyDescent="0.35">
      <c r="A133" s="499"/>
      <c r="B133" s="470"/>
      <c r="C133" s="122" t="s">
        <v>74</v>
      </c>
      <c r="D133" s="122" t="s">
        <v>75</v>
      </c>
      <c r="E133" s="123"/>
      <c r="F133" s="123">
        <f t="shared" si="59"/>
        <v>0</v>
      </c>
      <c r="G133" s="533"/>
      <c r="H133" s="472"/>
      <c r="I133" s="124"/>
      <c r="J133" s="124">
        <f t="shared" si="55"/>
        <v>0</v>
      </c>
      <c r="K133" s="536"/>
      <c r="L133" s="470"/>
      <c r="M133" s="522"/>
      <c r="N133" s="125">
        <f t="shared" si="62"/>
        <v>0</v>
      </c>
      <c r="O133" s="125">
        <f>O132</f>
        <v>0</v>
      </c>
      <c r="P133" s="125">
        <f t="shared" si="63"/>
        <v>0</v>
      </c>
      <c r="Q133" s="125">
        <f>Q132</f>
        <v>0</v>
      </c>
      <c r="R133" s="525"/>
      <c r="S133" s="472"/>
      <c r="T133" s="124"/>
      <c r="U133" s="124"/>
      <c r="V133" s="124"/>
      <c r="W133" s="124"/>
      <c r="X133" s="42">
        <f t="shared" si="64"/>
        <v>0</v>
      </c>
      <c r="Y133" s="124"/>
      <c r="Z133" s="124">
        <f t="shared" si="56"/>
        <v>0</v>
      </c>
      <c r="AA133" s="124">
        <f t="shared" si="56"/>
        <v>0</v>
      </c>
      <c r="AB133" s="124">
        <f t="shared" si="56"/>
        <v>0</v>
      </c>
      <c r="AC133" s="124"/>
      <c r="AD133" s="124">
        <f t="shared" si="65"/>
        <v>0</v>
      </c>
      <c r="AE133" s="124"/>
      <c r="AF133" s="124"/>
      <c r="AG133" s="123">
        <f t="shared" si="66"/>
        <v>0</v>
      </c>
      <c r="AH133" s="124"/>
      <c r="AI133" s="123">
        <f t="shared" si="57"/>
        <v>0</v>
      </c>
      <c r="AJ133" s="123">
        <f t="shared" si="57"/>
        <v>0</v>
      </c>
      <c r="AK133" s="123">
        <f t="shared" si="57"/>
        <v>0</v>
      </c>
      <c r="AL133" s="126" t="str">
        <f t="shared" si="37"/>
        <v/>
      </c>
      <c r="AM133" s="127"/>
      <c r="AN133" s="127"/>
      <c r="AO133" s="127">
        <f>AF133</f>
        <v>0</v>
      </c>
      <c r="AP133" s="182"/>
      <c r="AQ133" s="123">
        <f t="shared" si="58"/>
        <v>0</v>
      </c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527"/>
      <c r="BH133" s="128"/>
      <c r="BI133" s="128"/>
      <c r="BJ133" s="128">
        <f>BJ134</f>
        <v>5678900.0392899998</v>
      </c>
      <c r="BK133" s="128"/>
      <c r="BL133" s="128"/>
      <c r="BM133" s="128"/>
      <c r="BN133" s="128"/>
      <c r="BQ133" s="29"/>
      <c r="BR133" s="107"/>
      <c r="BS133" s="106"/>
    </row>
    <row r="134" spans="1:71" ht="21.75" hidden="1" customHeight="1" outlineLevel="1" x14ac:dyDescent="0.35">
      <c r="A134" s="439"/>
      <c r="B134" s="437"/>
      <c r="C134" s="129" t="s">
        <v>74</v>
      </c>
      <c r="D134" s="129" t="s">
        <v>76</v>
      </c>
      <c r="E134" s="130">
        <f>E133</f>
        <v>0</v>
      </c>
      <c r="F134" s="130">
        <f t="shared" si="59"/>
        <v>0</v>
      </c>
      <c r="G134" s="534"/>
      <c r="H134" s="473"/>
      <c r="I134" s="131">
        <f>I133</f>
        <v>0</v>
      </c>
      <c r="J134" s="131">
        <f t="shared" si="55"/>
        <v>0</v>
      </c>
      <c r="K134" s="537"/>
      <c r="L134" s="437"/>
      <c r="M134" s="523"/>
      <c r="N134" s="132">
        <f t="shared" si="62"/>
        <v>0</v>
      </c>
      <c r="O134" s="132">
        <f>O133</f>
        <v>0</v>
      </c>
      <c r="P134" s="132">
        <f t="shared" si="63"/>
        <v>0</v>
      </c>
      <c r="Q134" s="132">
        <f>Q133</f>
        <v>0</v>
      </c>
      <c r="R134" s="526"/>
      <c r="S134" s="473"/>
      <c r="T134" s="131"/>
      <c r="U134" s="131"/>
      <c r="V134" s="131"/>
      <c r="W134" s="131">
        <f>W133</f>
        <v>0</v>
      </c>
      <c r="X134" s="130">
        <f t="shared" si="64"/>
        <v>0</v>
      </c>
      <c r="Y134" s="131"/>
      <c r="Z134" s="131">
        <f t="shared" si="56"/>
        <v>0</v>
      </c>
      <c r="AA134" s="131">
        <f t="shared" si="56"/>
        <v>0</v>
      </c>
      <c r="AB134" s="131">
        <f t="shared" si="56"/>
        <v>0</v>
      </c>
      <c r="AC134" s="131">
        <f>AC133</f>
        <v>0</v>
      </c>
      <c r="AD134" s="131">
        <f t="shared" si="65"/>
        <v>0</v>
      </c>
      <c r="AE134" s="131"/>
      <c r="AF134" s="131">
        <f>AF133</f>
        <v>0</v>
      </c>
      <c r="AG134" s="130">
        <f t="shared" si="66"/>
        <v>0</v>
      </c>
      <c r="AH134" s="131"/>
      <c r="AI134" s="130">
        <f t="shared" si="57"/>
        <v>0</v>
      </c>
      <c r="AJ134" s="130">
        <f t="shared" si="57"/>
        <v>0</v>
      </c>
      <c r="AK134" s="130">
        <f t="shared" si="57"/>
        <v>0</v>
      </c>
      <c r="AL134" s="133" t="str">
        <f t="shared" si="37"/>
        <v/>
      </c>
      <c r="AM134" s="134"/>
      <c r="AN134" s="134"/>
      <c r="AO134" s="134">
        <f>AO133</f>
        <v>0</v>
      </c>
      <c r="AP134" s="130">
        <f>AP133</f>
        <v>0</v>
      </c>
      <c r="AQ134" s="130">
        <f t="shared" si="58"/>
        <v>0</v>
      </c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441"/>
      <c r="BH134" s="135"/>
      <c r="BI134" s="135"/>
      <c r="BJ134" s="200">
        <f>5678900039.29/1000</f>
        <v>5678900.0392899998</v>
      </c>
      <c r="BK134" s="135"/>
      <c r="BL134" s="135"/>
      <c r="BM134" s="135"/>
      <c r="BN134" s="135"/>
      <c r="BQ134" s="27"/>
      <c r="BR134" s="28"/>
      <c r="BS134" s="31"/>
    </row>
    <row r="135" spans="1:71" x14ac:dyDescent="0.35">
      <c r="A135" s="528">
        <v>3</v>
      </c>
      <c r="B135" s="434" t="s">
        <v>117</v>
      </c>
      <c r="C135" s="90" t="s">
        <v>72</v>
      </c>
      <c r="D135" s="90" t="s">
        <v>73</v>
      </c>
      <c r="E135" s="93">
        <f>E400+E138+E146+E175+E183+E203+E223+E234+E245+E262+E285+E308+E331+E354+E377</f>
        <v>24521525</v>
      </c>
      <c r="F135" s="93">
        <f>F400+F138+F146+F175+F183+F203+F223+F234+F245+F262+F285+F308+F331+F354+F377</f>
        <v>27464108</v>
      </c>
      <c r="G135" s="92"/>
      <c r="H135" s="93">
        <f>H400+H138+H146+H175+H183+H203+H223+H234+H245+H262+H285+H308+H331+H354+H377</f>
        <v>870</v>
      </c>
      <c r="I135" s="93">
        <f>I400+I138+I146+I175+I183+I203+I223+I234+I245+I262+I285+I308+I331+I354+I377</f>
        <v>7641694</v>
      </c>
      <c r="J135" s="93">
        <f>J400+J138+J146+J175+J183+J203+J223+J234+J245+J262+J285+J308+J331+J354+J377</f>
        <v>8558697.2800000012</v>
      </c>
      <c r="K135" s="94"/>
      <c r="L135" s="95"/>
      <c r="M135" s="96"/>
      <c r="N135" s="97">
        <f t="shared" ref="N135:Q136" si="67">N400+N138+N146+N175+N183+N203+N223+N234+N245+N262+N285+N308+N331+N354+N377</f>
        <v>165334832481.58035</v>
      </c>
      <c r="O135" s="97">
        <f t="shared" si="67"/>
        <v>185175012379.37003</v>
      </c>
      <c r="P135" s="97">
        <f t="shared" si="67"/>
        <v>165334832481.58035</v>
      </c>
      <c r="Q135" s="97">
        <f t="shared" si="67"/>
        <v>185175012379.37003</v>
      </c>
      <c r="R135" s="98"/>
      <c r="S135" s="93">
        <f t="shared" ref="S135:AK135" si="68">S400+S138+S146+S175+S183+S203+S223+S234+S245+S262+S285+S308+S331+S354+S377</f>
        <v>21333</v>
      </c>
      <c r="T135" s="93">
        <f t="shared" si="68"/>
        <v>0</v>
      </c>
      <c r="U135" s="93">
        <f t="shared" si="68"/>
        <v>0</v>
      </c>
      <c r="V135" s="93">
        <f t="shared" si="68"/>
        <v>0</v>
      </c>
      <c r="W135" s="93">
        <f t="shared" si="68"/>
        <v>8358098</v>
      </c>
      <c r="X135" s="93">
        <f t="shared" si="68"/>
        <v>9361069.7600000016</v>
      </c>
      <c r="Y135" s="93">
        <f t="shared" si="68"/>
        <v>2931</v>
      </c>
      <c r="Z135" s="93">
        <f t="shared" si="68"/>
        <v>8358098</v>
      </c>
      <c r="AA135" s="93">
        <f t="shared" si="68"/>
        <v>9361069.7600000016</v>
      </c>
      <c r="AB135" s="93">
        <f t="shared" si="68"/>
        <v>2931</v>
      </c>
      <c r="AC135" s="93">
        <f t="shared" si="68"/>
        <v>7641694</v>
      </c>
      <c r="AD135" s="93">
        <f t="shared" si="68"/>
        <v>8558697.2800000012</v>
      </c>
      <c r="AE135" s="93">
        <f t="shared" si="68"/>
        <v>867</v>
      </c>
      <c r="AF135" s="93">
        <f t="shared" si="68"/>
        <v>7644792.3464762205</v>
      </c>
      <c r="AG135" s="93">
        <f t="shared" si="68"/>
        <v>8562167.4280533679</v>
      </c>
      <c r="AH135" s="93">
        <f t="shared" si="68"/>
        <v>887</v>
      </c>
      <c r="AI135" s="93">
        <f t="shared" si="68"/>
        <v>3098.3464762208578</v>
      </c>
      <c r="AJ135" s="93">
        <f t="shared" si="68"/>
        <v>3470.1480533673607</v>
      </c>
      <c r="AK135" s="93">
        <f t="shared" si="68"/>
        <v>20</v>
      </c>
      <c r="AL135" s="201">
        <f t="shared" si="37"/>
        <v>1.0004054528323458</v>
      </c>
      <c r="AM135" s="93">
        <f>AM400+AM138+AM146+AM175+AM183+AM203+AM223+AM234+AM245+AM262+AM285+AM308+AM331+AM354+AM377</f>
        <v>0</v>
      </c>
      <c r="AN135" s="93">
        <f t="shared" ref="AN135:BF136" si="69">AN400+AN138+AN146+AN175+AN183+AN203+AN223+AN234+AN245+AN262+AN285+AN308+AN331+AN354+AN377</f>
        <v>0</v>
      </c>
      <c r="AO135" s="93">
        <f t="shared" si="69"/>
        <v>0</v>
      </c>
      <c r="AP135" s="93">
        <f t="shared" si="69"/>
        <v>7640506.9957466265</v>
      </c>
      <c r="AQ135" s="93">
        <f t="shared" si="69"/>
        <v>8557367.8352362216</v>
      </c>
      <c r="AR135" s="93">
        <f t="shared" si="69"/>
        <v>867</v>
      </c>
      <c r="AS135" s="93">
        <f t="shared" si="69"/>
        <v>0</v>
      </c>
      <c r="AT135" s="93">
        <f t="shared" si="69"/>
        <v>0</v>
      </c>
      <c r="AU135" s="93">
        <f t="shared" si="69"/>
        <v>0</v>
      </c>
      <c r="AV135" s="93">
        <f t="shared" si="69"/>
        <v>0</v>
      </c>
      <c r="AW135" s="93">
        <f t="shared" si="69"/>
        <v>0</v>
      </c>
      <c r="AX135" s="93">
        <f t="shared" si="69"/>
        <v>0</v>
      </c>
      <c r="AY135" s="93">
        <f t="shared" si="69"/>
        <v>0</v>
      </c>
      <c r="AZ135" s="93">
        <f t="shared" si="69"/>
        <v>0</v>
      </c>
      <c r="BA135" s="93">
        <f t="shared" si="69"/>
        <v>0</v>
      </c>
      <c r="BB135" s="93">
        <f t="shared" si="69"/>
        <v>0</v>
      </c>
      <c r="BC135" s="93">
        <f t="shared" si="69"/>
        <v>0</v>
      </c>
      <c r="BD135" s="93">
        <f t="shared" si="69"/>
        <v>0</v>
      </c>
      <c r="BE135" s="93">
        <f t="shared" si="69"/>
        <v>0</v>
      </c>
      <c r="BF135" s="93">
        <f t="shared" si="69"/>
        <v>177139.43793911007</v>
      </c>
      <c r="BG135" s="529" t="s">
        <v>84</v>
      </c>
      <c r="BH135" s="102">
        <f t="shared" ref="BH135:BK136" si="70">BH400+BH138+BH146+BH175+BH183+BH203+BH223+BH234+BH245+BH262+BH285+BH308+BH331+BH354+BH377</f>
        <v>0</v>
      </c>
      <c r="BI135" s="93">
        <f t="shared" si="70"/>
        <v>0</v>
      </c>
      <c r="BJ135" s="93">
        <f t="shared" si="70"/>
        <v>0</v>
      </c>
      <c r="BK135" s="93">
        <f t="shared" si="70"/>
        <v>0</v>
      </c>
      <c r="BL135" s="102"/>
      <c r="BM135" s="102"/>
      <c r="BN135" s="102"/>
      <c r="BQ135" s="104">
        <f>SUM(AS135:BF135)</f>
        <v>177139.43793911007</v>
      </c>
      <c r="BR135" s="28">
        <f>AI135-BQ135</f>
        <v>-174041.09146288922</v>
      </c>
      <c r="BS135" s="31"/>
    </row>
    <row r="136" spans="1:71" x14ac:dyDescent="0.35">
      <c r="A136" s="528"/>
      <c r="B136" s="434"/>
      <c r="C136" s="90" t="s">
        <v>74</v>
      </c>
      <c r="D136" s="90" t="s">
        <v>75</v>
      </c>
      <c r="E136" s="93">
        <f>E401+E139+E147+E176+E184+E204+E224+E235+E246+E263+E286+E309+E332+E355+E378</f>
        <v>24635347</v>
      </c>
      <c r="F136" s="93">
        <f>F401+F139+F147+F176+F184+F204+F224+F235+F246+F263+F286+F309+F332+F355+F378</f>
        <v>27591588.640000001</v>
      </c>
      <c r="G136" s="92"/>
      <c r="H136" s="93"/>
      <c r="I136" s="93">
        <f>I401+I139+I147+I176+I184+I204+I224+I235+I246+I263+I286+I309+I332+I355+I378</f>
        <v>7900986.1231428552</v>
      </c>
      <c r="J136" s="93">
        <f>J401+J139+J147+J176+J184+J204+J224+J235+J246+J263+J286+J309+J332+J355+J378</f>
        <v>8849104.45792</v>
      </c>
      <c r="K136" s="94"/>
      <c r="L136" s="95"/>
      <c r="M136" s="96"/>
      <c r="N136" s="97">
        <f t="shared" si="67"/>
        <v>165334832481.58035</v>
      </c>
      <c r="O136" s="97">
        <f t="shared" si="67"/>
        <v>185175012379.37003</v>
      </c>
      <c r="P136" s="97">
        <f t="shared" si="67"/>
        <v>165334832481.58035</v>
      </c>
      <c r="Q136" s="97">
        <f t="shared" si="67"/>
        <v>185175012379.37003</v>
      </c>
      <c r="R136" s="98"/>
      <c r="S136" s="93"/>
      <c r="T136" s="93">
        <f>T401+T139+T147+T176+T184+T204+T224+T235+T246+T263+T286+T309+T332+T355+T378</f>
        <v>0</v>
      </c>
      <c r="U136" s="93">
        <f>U401+U139+U147+U176+U184+U204+U224+U235+U246+U263+U286+U309+U332+U355+U378</f>
        <v>0</v>
      </c>
      <c r="V136" s="93"/>
      <c r="W136" s="93">
        <f>W401+W139+W147+W176+W184+W204+W224+W235+W246+W263+W286+W309+W332+W355+W378</f>
        <v>4869086.5979553582</v>
      </c>
      <c r="X136" s="93">
        <f>X401+X139+X147+X176+X184+X204+X224+X235+X246+X263+X286+X309+X332+X355+X378</f>
        <v>5453376.9897099975</v>
      </c>
      <c r="Y136" s="93"/>
      <c r="Z136" s="93">
        <f>Z401+Z139+Z147+Z176+Z184+Z204+Z224+Z235+Z246+Z263+Z286+Z309+Z332+Z355+Z378</f>
        <v>4869086.5979553582</v>
      </c>
      <c r="AA136" s="93">
        <f>AA401+AA139+AA147+AA176+AA184+AA204+AA224+AA235+AA246+AA263+AA286+AA309+AA332+AA355+AA378</f>
        <v>5453376.9897099975</v>
      </c>
      <c r="AB136" s="93"/>
      <c r="AC136" s="93">
        <f>AC401+AC139+AC147+AC176+AC184+AC204+AC224+AC235+AC246+AC263+AC286+AC309+AC332+AC355+AC378</f>
        <v>7900985.6944285696</v>
      </c>
      <c r="AD136" s="93">
        <f>AD401+AD139+AD147+AD176+AD184+AD204+AD224+AD235+AD246+AD263+AD286+AD309+AD332+AD355+AD378</f>
        <v>8849103.977760002</v>
      </c>
      <c r="AE136" s="93"/>
      <c r="AF136" s="93">
        <f>AF401+AF139+AF147+AF176+AF184+AF204+AF224+AF235+AF246+AF263+AF286+AF309+AF332+AF355+AF378</f>
        <v>7445996.8888571402</v>
      </c>
      <c r="AG136" s="93">
        <f>AG401+AG139+AG147+AG176+AG184+AG204+AG224+AG235+AG246+AG263+AG286+AG309+AG332+AG355+AG378</f>
        <v>8339516.5155199971</v>
      </c>
      <c r="AH136" s="93"/>
      <c r="AI136" s="93">
        <f>AI401+AI139+AI147+AI176+AI184+AI204+AI224+AI235+AI246+AI263+AI286+AI309+AI332+AI355+AI378</f>
        <v>-425823.30557143013</v>
      </c>
      <c r="AJ136" s="93">
        <f>AJ401+AJ139+AJ147+AJ176+AJ184+AJ204+AJ224+AJ235+AJ246+AJ263+AJ286+AJ309+AJ332+AJ355+AJ378</f>
        <v>-476922.10224000167</v>
      </c>
      <c r="AK136" s="93"/>
      <c r="AL136" s="99">
        <f t="shared" si="37"/>
        <v>0.9424136654376849</v>
      </c>
      <c r="AM136" s="93">
        <f>AM401+AM139+AM147+AM176+AM184+AM204+AM224+AM235+AM246+AM263+AM286+AM309+AM332+AM355+AM378</f>
        <v>837438.72696428571</v>
      </c>
      <c r="AN136" s="93">
        <f t="shared" si="69"/>
        <v>6608558.1618928555</v>
      </c>
      <c r="AO136" s="93">
        <f t="shared" si="69"/>
        <v>0</v>
      </c>
      <c r="AP136" s="93">
        <f t="shared" si="69"/>
        <v>8474911.0671037696</v>
      </c>
      <c r="AQ136" s="93">
        <f t="shared" si="69"/>
        <v>9491900.3951562196</v>
      </c>
      <c r="AR136" s="93">
        <f t="shared" si="69"/>
        <v>0</v>
      </c>
      <c r="AS136" s="93">
        <f t="shared" si="69"/>
        <v>0</v>
      </c>
      <c r="AT136" s="93">
        <f t="shared" si="69"/>
        <v>0</v>
      </c>
      <c r="AU136" s="93">
        <f t="shared" si="69"/>
        <v>0</v>
      </c>
      <c r="AV136" s="93">
        <f t="shared" si="69"/>
        <v>0</v>
      </c>
      <c r="AW136" s="93">
        <f t="shared" si="69"/>
        <v>0</v>
      </c>
      <c r="AX136" s="93">
        <f t="shared" si="69"/>
        <v>0</v>
      </c>
      <c r="AY136" s="93">
        <f t="shared" si="69"/>
        <v>0</v>
      </c>
      <c r="AZ136" s="93">
        <f t="shared" si="69"/>
        <v>0</v>
      </c>
      <c r="BA136" s="93">
        <f t="shared" si="69"/>
        <v>0</v>
      </c>
      <c r="BB136" s="93">
        <f t="shared" si="69"/>
        <v>0</v>
      </c>
      <c r="BC136" s="93">
        <f t="shared" si="69"/>
        <v>0</v>
      </c>
      <c r="BD136" s="93">
        <f t="shared" si="69"/>
        <v>0</v>
      </c>
      <c r="BE136" s="93">
        <f t="shared" si="69"/>
        <v>0</v>
      </c>
      <c r="BF136" s="93">
        <f t="shared" si="69"/>
        <v>0</v>
      </c>
      <c r="BG136" s="530"/>
      <c r="BH136" s="102">
        <f t="shared" si="70"/>
        <v>0</v>
      </c>
      <c r="BI136" s="93">
        <f t="shared" si="70"/>
        <v>36076.095889999997</v>
      </c>
      <c r="BJ136" s="93">
        <f t="shared" si="70"/>
        <v>514220.39099999995</v>
      </c>
      <c r="BK136" s="93">
        <f t="shared" si="70"/>
        <v>115.42274999999999</v>
      </c>
      <c r="BL136" s="102"/>
      <c r="BM136" s="102"/>
      <c r="BN136" s="102"/>
      <c r="BQ136" s="27"/>
      <c r="BR136" s="28"/>
      <c r="BS136" s="31"/>
    </row>
    <row r="137" spans="1:71" s="118" customFormat="1" x14ac:dyDescent="0.35">
      <c r="A137" s="528"/>
      <c r="B137" s="434"/>
      <c r="C137" s="108" t="s">
        <v>74</v>
      </c>
      <c r="D137" s="108" t="s">
        <v>76</v>
      </c>
      <c r="E137" s="111">
        <f>E136</f>
        <v>24635347</v>
      </c>
      <c r="F137" s="111">
        <f>F136</f>
        <v>27591588.640000001</v>
      </c>
      <c r="G137" s="110"/>
      <c r="H137" s="109"/>
      <c r="I137" s="111">
        <f>I136</f>
        <v>7900986.1231428552</v>
      </c>
      <c r="J137" s="111">
        <f>J136</f>
        <v>8849104.45792</v>
      </c>
      <c r="K137" s="112"/>
      <c r="L137" s="113"/>
      <c r="M137" s="114"/>
      <c r="N137" s="115">
        <f>N136</f>
        <v>165334832481.58035</v>
      </c>
      <c r="O137" s="115">
        <f>O136</f>
        <v>185175012379.37003</v>
      </c>
      <c r="P137" s="115">
        <f>P136</f>
        <v>165334832481.58035</v>
      </c>
      <c r="Q137" s="115">
        <f>Q136</f>
        <v>185175012379.37003</v>
      </c>
      <c r="R137" s="138"/>
      <c r="S137" s="109"/>
      <c r="T137" s="111">
        <f>T136</f>
        <v>0</v>
      </c>
      <c r="U137" s="111">
        <f>U136</f>
        <v>0</v>
      </c>
      <c r="V137" s="111"/>
      <c r="W137" s="111">
        <f>W136</f>
        <v>4869086.5979553582</v>
      </c>
      <c r="X137" s="111">
        <f>X136</f>
        <v>5453376.9897099975</v>
      </c>
      <c r="Y137" s="111"/>
      <c r="Z137" s="111">
        <f>Z136</f>
        <v>4869086.5979553582</v>
      </c>
      <c r="AA137" s="111">
        <f>AA136</f>
        <v>5453376.9897099975</v>
      </c>
      <c r="AB137" s="111"/>
      <c r="AC137" s="111">
        <f>AC136</f>
        <v>7900985.6944285696</v>
      </c>
      <c r="AD137" s="111">
        <f>AD136</f>
        <v>8849103.977760002</v>
      </c>
      <c r="AE137" s="111"/>
      <c r="AF137" s="111">
        <f>AF136</f>
        <v>7445996.8888571402</v>
      </c>
      <c r="AG137" s="111">
        <f>AG136</f>
        <v>8339516.5155199971</v>
      </c>
      <c r="AH137" s="111"/>
      <c r="AI137" s="111">
        <f>AI136</f>
        <v>-425823.30557143013</v>
      </c>
      <c r="AJ137" s="111">
        <f>AJ136</f>
        <v>-476922.10224000167</v>
      </c>
      <c r="AK137" s="111"/>
      <c r="AL137" s="116">
        <f t="shared" si="37"/>
        <v>0.9424136654376849</v>
      </c>
      <c r="AM137" s="111">
        <f t="shared" ref="AM137:BF137" si="71">AM136</f>
        <v>837438.72696428571</v>
      </c>
      <c r="AN137" s="111">
        <f t="shared" si="71"/>
        <v>6608558.1618928555</v>
      </c>
      <c r="AO137" s="111">
        <f t="shared" si="71"/>
        <v>0</v>
      </c>
      <c r="AP137" s="111">
        <f t="shared" si="71"/>
        <v>8474911.0671037696</v>
      </c>
      <c r="AQ137" s="111">
        <f t="shared" si="71"/>
        <v>9491900.3951562196</v>
      </c>
      <c r="AR137" s="111">
        <f t="shared" si="71"/>
        <v>0</v>
      </c>
      <c r="AS137" s="111">
        <f t="shared" si="71"/>
        <v>0</v>
      </c>
      <c r="AT137" s="111">
        <f t="shared" si="71"/>
        <v>0</v>
      </c>
      <c r="AU137" s="111">
        <f t="shared" si="71"/>
        <v>0</v>
      </c>
      <c r="AV137" s="111">
        <f t="shared" si="71"/>
        <v>0</v>
      </c>
      <c r="AW137" s="111">
        <f t="shared" si="71"/>
        <v>0</v>
      </c>
      <c r="AX137" s="111">
        <f t="shared" si="71"/>
        <v>0</v>
      </c>
      <c r="AY137" s="111">
        <f t="shared" si="71"/>
        <v>0</v>
      </c>
      <c r="AZ137" s="111">
        <f t="shared" si="71"/>
        <v>0</v>
      </c>
      <c r="BA137" s="111">
        <f t="shared" si="71"/>
        <v>0</v>
      </c>
      <c r="BB137" s="111">
        <f t="shared" si="71"/>
        <v>0</v>
      </c>
      <c r="BC137" s="111">
        <f t="shared" si="71"/>
        <v>0</v>
      </c>
      <c r="BD137" s="111">
        <f t="shared" si="71"/>
        <v>0</v>
      </c>
      <c r="BE137" s="111">
        <f t="shared" si="71"/>
        <v>0</v>
      </c>
      <c r="BF137" s="111">
        <f t="shared" si="71"/>
        <v>0</v>
      </c>
      <c r="BG137" s="531"/>
      <c r="BH137" s="117"/>
      <c r="BI137" s="109">
        <f>BI136</f>
        <v>36076.095889999997</v>
      </c>
      <c r="BJ137" s="109">
        <f>BJ136</f>
        <v>514220.39099999995</v>
      </c>
      <c r="BK137" s="109">
        <f>BK136</f>
        <v>115.42274999999999</v>
      </c>
      <c r="BL137" s="117"/>
      <c r="BM137" s="117"/>
      <c r="BN137" s="117"/>
      <c r="BQ137" s="119"/>
      <c r="BR137" s="120"/>
      <c r="BS137" s="121"/>
    </row>
    <row r="138" spans="1:71" s="212" customFormat="1" x14ac:dyDescent="0.35">
      <c r="A138" s="438"/>
      <c r="B138" s="436" t="s">
        <v>118</v>
      </c>
      <c r="C138" s="202"/>
      <c r="D138" s="202"/>
      <c r="E138" s="203">
        <f>E140+E143</f>
        <v>0</v>
      </c>
      <c r="F138" s="203">
        <f>F140+F143</f>
        <v>0</v>
      </c>
      <c r="G138" s="204"/>
      <c r="H138" s="203">
        <f>H140+H143</f>
        <v>0</v>
      </c>
      <c r="I138" s="203">
        <f>I140+I143</f>
        <v>0</v>
      </c>
      <c r="J138" s="203">
        <f>J140+J143</f>
        <v>0</v>
      </c>
      <c r="K138" s="486" t="s">
        <v>119</v>
      </c>
      <c r="L138" s="487"/>
      <c r="M138" s="500" t="s">
        <v>113</v>
      </c>
      <c r="N138" s="205">
        <f t="shared" ref="N138:Q139" si="72">N140+N143</f>
        <v>92641558.928571418</v>
      </c>
      <c r="O138" s="205">
        <f t="shared" si="72"/>
        <v>103758546</v>
      </c>
      <c r="P138" s="205">
        <f t="shared" si="72"/>
        <v>92641558.928571418</v>
      </c>
      <c r="Q138" s="205">
        <f t="shared" si="72"/>
        <v>103758546</v>
      </c>
      <c r="R138" s="206"/>
      <c r="S138" s="492">
        <f>S140+S143</f>
        <v>45</v>
      </c>
      <c r="T138" s="203">
        <f t="shared" ref="T138:AK139" si="73">T140+T143</f>
        <v>0</v>
      </c>
      <c r="U138" s="203">
        <f t="shared" si="73"/>
        <v>0</v>
      </c>
      <c r="V138" s="203">
        <f t="shared" si="73"/>
        <v>0</v>
      </c>
      <c r="W138" s="203">
        <f t="shared" si="73"/>
        <v>79762</v>
      </c>
      <c r="X138" s="203">
        <f t="shared" si="73"/>
        <v>89333.440000000002</v>
      </c>
      <c r="Y138" s="203">
        <f t="shared" si="73"/>
        <v>45</v>
      </c>
      <c r="Z138" s="203">
        <f t="shared" si="73"/>
        <v>79762</v>
      </c>
      <c r="AA138" s="203">
        <f t="shared" si="73"/>
        <v>89333.440000000002</v>
      </c>
      <c r="AB138" s="203">
        <f t="shared" si="73"/>
        <v>45</v>
      </c>
      <c r="AC138" s="203">
        <f t="shared" si="73"/>
        <v>0</v>
      </c>
      <c r="AD138" s="203">
        <f t="shared" si="73"/>
        <v>0</v>
      </c>
      <c r="AE138" s="203">
        <f t="shared" si="73"/>
        <v>0</v>
      </c>
      <c r="AF138" s="203">
        <f t="shared" si="73"/>
        <v>0</v>
      </c>
      <c r="AG138" s="203">
        <f t="shared" si="73"/>
        <v>0</v>
      </c>
      <c r="AH138" s="203">
        <f t="shared" si="73"/>
        <v>0</v>
      </c>
      <c r="AI138" s="203">
        <f t="shared" si="73"/>
        <v>0</v>
      </c>
      <c r="AJ138" s="203">
        <f t="shared" si="73"/>
        <v>0</v>
      </c>
      <c r="AK138" s="203">
        <f t="shared" si="73"/>
        <v>0</v>
      </c>
      <c r="AL138" s="208" t="str">
        <f t="shared" si="37"/>
        <v/>
      </c>
      <c r="AM138" s="203">
        <f t="shared" ref="AM138:BF139" si="74">AM140+AM143</f>
        <v>0</v>
      </c>
      <c r="AN138" s="203">
        <f t="shared" si="74"/>
        <v>0</v>
      </c>
      <c r="AO138" s="203">
        <f t="shared" si="74"/>
        <v>0</v>
      </c>
      <c r="AP138" s="203">
        <f t="shared" si="74"/>
        <v>0</v>
      </c>
      <c r="AQ138" s="203">
        <f t="shared" si="74"/>
        <v>0</v>
      </c>
      <c r="AR138" s="203">
        <f t="shared" si="74"/>
        <v>0</v>
      </c>
      <c r="AS138" s="203">
        <f t="shared" si="74"/>
        <v>0</v>
      </c>
      <c r="AT138" s="203">
        <f t="shared" si="74"/>
        <v>0</v>
      </c>
      <c r="AU138" s="203">
        <f t="shared" si="74"/>
        <v>0</v>
      </c>
      <c r="AV138" s="203">
        <f t="shared" si="74"/>
        <v>0</v>
      </c>
      <c r="AW138" s="203">
        <f t="shared" si="74"/>
        <v>0</v>
      </c>
      <c r="AX138" s="203">
        <f t="shared" si="74"/>
        <v>0</v>
      </c>
      <c r="AY138" s="203">
        <f t="shared" si="74"/>
        <v>0</v>
      </c>
      <c r="AZ138" s="203">
        <f t="shared" si="74"/>
        <v>0</v>
      </c>
      <c r="BA138" s="203">
        <f t="shared" si="74"/>
        <v>0</v>
      </c>
      <c r="BB138" s="203">
        <f t="shared" si="74"/>
        <v>0</v>
      </c>
      <c r="BC138" s="203">
        <f t="shared" si="74"/>
        <v>0</v>
      </c>
      <c r="BD138" s="203">
        <f t="shared" si="74"/>
        <v>0</v>
      </c>
      <c r="BE138" s="203">
        <f t="shared" si="74"/>
        <v>0</v>
      </c>
      <c r="BF138" s="203">
        <f t="shared" si="74"/>
        <v>0</v>
      </c>
      <c r="BG138" s="209" t="s">
        <v>84</v>
      </c>
      <c r="BH138" s="210"/>
      <c r="BI138" s="207">
        <f t="shared" ref="BI138:BK139" si="75">BI140+BI143</f>
        <v>0</v>
      </c>
      <c r="BJ138" s="207">
        <f t="shared" si="75"/>
        <v>0</v>
      </c>
      <c r="BK138" s="207">
        <f t="shared" si="75"/>
        <v>0</v>
      </c>
      <c r="BL138" s="211"/>
      <c r="BM138" s="211"/>
      <c r="BN138" s="210"/>
      <c r="BQ138" s="213"/>
      <c r="BR138" s="214"/>
      <c r="BS138" s="210"/>
    </row>
    <row r="139" spans="1:71" s="212" customFormat="1" x14ac:dyDescent="0.35">
      <c r="A139" s="499"/>
      <c r="B139" s="470"/>
      <c r="C139" s="202"/>
      <c r="D139" s="202"/>
      <c r="E139" s="203">
        <f>E141+E144</f>
        <v>113822</v>
      </c>
      <c r="F139" s="203">
        <f>F141+F144</f>
        <v>127480.64000000001</v>
      </c>
      <c r="G139" s="204"/>
      <c r="H139" s="215"/>
      <c r="I139" s="203">
        <f>I141+I144</f>
        <v>13015.178571428571</v>
      </c>
      <c r="J139" s="203">
        <f>J141+J144</f>
        <v>14577</v>
      </c>
      <c r="K139" s="488"/>
      <c r="L139" s="489"/>
      <c r="M139" s="500"/>
      <c r="N139" s="205">
        <f t="shared" si="72"/>
        <v>92641558.928571418</v>
      </c>
      <c r="O139" s="205">
        <f t="shared" si="72"/>
        <v>103758546</v>
      </c>
      <c r="P139" s="205">
        <f t="shared" si="72"/>
        <v>92641558.928571418</v>
      </c>
      <c r="Q139" s="205">
        <f t="shared" si="72"/>
        <v>103758546</v>
      </c>
      <c r="R139" s="206"/>
      <c r="S139" s="492"/>
      <c r="T139" s="203">
        <f t="shared" si="73"/>
        <v>0</v>
      </c>
      <c r="U139" s="203">
        <f t="shared" si="73"/>
        <v>0</v>
      </c>
      <c r="V139" s="216"/>
      <c r="W139" s="203">
        <f t="shared" si="73"/>
        <v>56000.632928571329</v>
      </c>
      <c r="X139" s="203">
        <f t="shared" si="73"/>
        <v>62720.708879999896</v>
      </c>
      <c r="Y139" s="216"/>
      <c r="Z139" s="203">
        <f t="shared" si="73"/>
        <v>56000.632928571329</v>
      </c>
      <c r="AA139" s="203">
        <f t="shared" si="73"/>
        <v>62720.708879999896</v>
      </c>
      <c r="AB139" s="216"/>
      <c r="AC139" s="203">
        <f t="shared" si="73"/>
        <v>13015.178571428571</v>
      </c>
      <c r="AD139" s="203">
        <f t="shared" si="73"/>
        <v>14577</v>
      </c>
      <c r="AE139" s="216"/>
      <c r="AF139" s="203">
        <f t="shared" si="73"/>
        <v>9337.5792857142842</v>
      </c>
      <c r="AG139" s="203">
        <f t="shared" si="73"/>
        <v>10458.0888</v>
      </c>
      <c r="AH139" s="216"/>
      <c r="AI139" s="203">
        <f t="shared" si="73"/>
        <v>-3677.5992857142865</v>
      </c>
      <c r="AJ139" s="203">
        <f t="shared" si="73"/>
        <v>-4118.9112000000014</v>
      </c>
      <c r="AK139" s="216"/>
      <c r="AL139" s="208">
        <f t="shared" si="37"/>
        <v>0.71743766207038473</v>
      </c>
      <c r="AM139" s="203">
        <f t="shared" si="74"/>
        <v>9337.5792857142842</v>
      </c>
      <c r="AN139" s="203">
        <f t="shared" si="74"/>
        <v>0</v>
      </c>
      <c r="AO139" s="203">
        <f t="shared" si="74"/>
        <v>0</v>
      </c>
      <c r="AP139" s="203">
        <f t="shared" si="74"/>
        <v>9337.5792857142842</v>
      </c>
      <c r="AQ139" s="203">
        <f t="shared" si="74"/>
        <v>10458.0888</v>
      </c>
      <c r="AR139" s="203">
        <f t="shared" si="74"/>
        <v>0</v>
      </c>
      <c r="AS139" s="203">
        <f t="shared" si="74"/>
        <v>0</v>
      </c>
      <c r="AT139" s="203">
        <f t="shared" si="74"/>
        <v>0</v>
      </c>
      <c r="AU139" s="203">
        <f t="shared" si="74"/>
        <v>0</v>
      </c>
      <c r="AV139" s="203">
        <f t="shared" si="74"/>
        <v>0</v>
      </c>
      <c r="AW139" s="203">
        <f t="shared" si="74"/>
        <v>0</v>
      </c>
      <c r="AX139" s="203">
        <f t="shared" si="74"/>
        <v>0</v>
      </c>
      <c r="AY139" s="203">
        <f t="shared" si="74"/>
        <v>0</v>
      </c>
      <c r="AZ139" s="203">
        <f t="shared" si="74"/>
        <v>0</v>
      </c>
      <c r="BA139" s="203">
        <f t="shared" si="74"/>
        <v>0</v>
      </c>
      <c r="BB139" s="203">
        <f t="shared" si="74"/>
        <v>0</v>
      </c>
      <c r="BC139" s="203">
        <f t="shared" si="74"/>
        <v>0</v>
      </c>
      <c r="BD139" s="203">
        <f t="shared" si="74"/>
        <v>0</v>
      </c>
      <c r="BE139" s="203">
        <f t="shared" si="74"/>
        <v>0</v>
      </c>
      <c r="BF139" s="203">
        <f t="shared" si="74"/>
        <v>0</v>
      </c>
      <c r="BG139" s="210"/>
      <c r="BH139" s="210"/>
      <c r="BI139" s="207">
        <f t="shared" si="75"/>
        <v>0</v>
      </c>
      <c r="BJ139" s="207">
        <f t="shared" si="75"/>
        <v>0</v>
      </c>
      <c r="BK139" s="207">
        <f t="shared" si="75"/>
        <v>0</v>
      </c>
      <c r="BL139" s="211"/>
      <c r="BM139" s="211"/>
      <c r="BN139" s="210"/>
      <c r="BQ139" s="213"/>
      <c r="BR139" s="214"/>
      <c r="BS139" s="210"/>
    </row>
    <row r="140" spans="1:71" s="227" customFormat="1" x14ac:dyDescent="0.35">
      <c r="A140" s="499"/>
      <c r="B140" s="470"/>
      <c r="C140" s="217" t="s">
        <v>72</v>
      </c>
      <c r="D140" s="217" t="s">
        <v>73</v>
      </c>
      <c r="E140" s="218">
        <f>I140</f>
        <v>0</v>
      </c>
      <c r="F140" s="218">
        <f>E140*1.12</f>
        <v>0</v>
      </c>
      <c r="G140" s="493">
        <v>1919</v>
      </c>
      <c r="H140" s="496"/>
      <c r="I140" s="219"/>
      <c r="J140" s="219">
        <f>I140*1.12</f>
        <v>0</v>
      </c>
      <c r="K140" s="463" t="s">
        <v>120</v>
      </c>
      <c r="L140" s="502" t="s">
        <v>121</v>
      </c>
      <c r="M140" s="459" t="s">
        <v>113</v>
      </c>
      <c r="N140" s="220">
        <f t="shared" ref="N140:O145" si="76">P140</f>
        <v>62807836.598214276</v>
      </c>
      <c r="O140" s="220">
        <f t="shared" si="76"/>
        <v>70344776.989999995</v>
      </c>
      <c r="P140" s="220">
        <f t="shared" ref="P140:P145" si="77">Q140/1.12</f>
        <v>62807836.598214276</v>
      </c>
      <c r="Q140" s="220">
        <v>70344776.989999995</v>
      </c>
      <c r="R140" s="454" t="s">
        <v>122</v>
      </c>
      <c r="S140" s="448">
        <v>30</v>
      </c>
      <c r="T140" s="221"/>
      <c r="U140" s="221"/>
      <c r="V140" s="221"/>
      <c r="W140" s="221">
        <f>9537+9323+7006+1037+17715+1647+23140-2093</f>
        <v>67312</v>
      </c>
      <c r="X140" s="222">
        <f t="shared" ref="X140:X145" si="78">W140*1.12</f>
        <v>75389.440000000002</v>
      </c>
      <c r="Y140" s="221">
        <f>5+4+3+1+7+10</f>
        <v>30</v>
      </c>
      <c r="Z140" s="221">
        <f t="shared" ref="Z140:AB145" si="79">T140+W140</f>
        <v>67312</v>
      </c>
      <c r="AA140" s="221">
        <f t="shared" si="79"/>
        <v>75389.440000000002</v>
      </c>
      <c r="AB140" s="221">
        <f t="shared" si="79"/>
        <v>30</v>
      </c>
      <c r="AC140" s="221"/>
      <c r="AD140" s="221">
        <f>AC140*1.12</f>
        <v>0</v>
      </c>
      <c r="AE140" s="221"/>
      <c r="AF140" s="221"/>
      <c r="AG140" s="222">
        <f t="shared" ref="AG140:AG145" si="80">AF140*1.12</f>
        <v>0</v>
      </c>
      <c r="AH140" s="221"/>
      <c r="AI140" s="222"/>
      <c r="AJ140" s="222">
        <f>AI140*1.12</f>
        <v>0</v>
      </c>
      <c r="AK140" s="222">
        <f>AH140-AE140</f>
        <v>0</v>
      </c>
      <c r="AL140" s="223" t="str">
        <f t="shared" si="37"/>
        <v/>
      </c>
      <c r="AM140" s="224"/>
      <c r="AN140" s="224"/>
      <c r="AO140" s="224"/>
      <c r="AP140" s="222"/>
      <c r="AQ140" s="222">
        <f t="shared" ref="AQ140:AQ145" si="81">AP140*1.12</f>
        <v>0</v>
      </c>
      <c r="AR140" s="222"/>
      <c r="AS140" s="222"/>
      <c r="AT140" s="222"/>
      <c r="AU140" s="222"/>
      <c r="AV140" s="222"/>
      <c r="AW140" s="222"/>
      <c r="AX140" s="222"/>
      <c r="AY140" s="222"/>
      <c r="AZ140" s="225"/>
      <c r="BA140" s="222"/>
      <c r="BB140" s="222"/>
      <c r="BC140" s="222"/>
      <c r="BD140" s="222"/>
      <c r="BE140" s="222"/>
      <c r="BF140" s="222"/>
      <c r="BG140" s="226"/>
      <c r="BH140" s="226"/>
      <c r="BI140" s="226"/>
      <c r="BJ140" s="226"/>
      <c r="BK140" s="226"/>
      <c r="BL140" s="226"/>
      <c r="BM140" s="226"/>
      <c r="BN140" s="226"/>
      <c r="BQ140" s="228"/>
      <c r="BR140" s="229"/>
      <c r="BS140" s="226"/>
    </row>
    <row r="141" spans="1:71" s="103" customFormat="1" x14ac:dyDescent="0.35">
      <c r="A141" s="499"/>
      <c r="B141" s="470"/>
      <c r="C141" s="122" t="s">
        <v>74</v>
      </c>
      <c r="D141" s="122" t="s">
        <v>75</v>
      </c>
      <c r="E141" s="185">
        <v>113822</v>
      </c>
      <c r="F141" s="185">
        <f>E141*1.12</f>
        <v>127480.64000000001</v>
      </c>
      <c r="G141" s="494"/>
      <c r="H141" s="497"/>
      <c r="I141" s="189">
        <v>13015.178571428571</v>
      </c>
      <c r="J141" s="189">
        <f>I141*1.12</f>
        <v>14577</v>
      </c>
      <c r="K141" s="463"/>
      <c r="L141" s="502"/>
      <c r="M141" s="459"/>
      <c r="N141" s="125">
        <f t="shared" si="76"/>
        <v>62807836.598214276</v>
      </c>
      <c r="O141" s="125">
        <f t="shared" si="76"/>
        <v>70344776.989999995</v>
      </c>
      <c r="P141" s="125">
        <f t="shared" si="77"/>
        <v>62807836.598214276</v>
      </c>
      <c r="Q141" s="125">
        <f>Q140</f>
        <v>70344776.989999995</v>
      </c>
      <c r="R141" s="454"/>
      <c r="S141" s="448"/>
      <c r="T141" s="124"/>
      <c r="U141" s="124"/>
      <c r="V141" s="124"/>
      <c r="W141" s="124">
        <f>10233.28492/1.12+8163.73094/1.12+6196.45893/1.12+1921.9961/1.12+14689.92442/1.12+21515.3135699999/1.12</f>
        <v>56000.632928571329</v>
      </c>
      <c r="X141" s="123">
        <f t="shared" si="78"/>
        <v>62720.708879999896</v>
      </c>
      <c r="Y141" s="124"/>
      <c r="Z141" s="124">
        <f>T141+W141</f>
        <v>56000.632928571329</v>
      </c>
      <c r="AA141" s="124">
        <f t="shared" si="79"/>
        <v>62720.708879999896</v>
      </c>
      <c r="AB141" s="124"/>
      <c r="AC141" s="124">
        <v>13015.178571428571</v>
      </c>
      <c r="AD141" s="124">
        <f>AC141*1.12</f>
        <v>14577</v>
      </c>
      <c r="AE141" s="124"/>
      <c r="AF141" s="124"/>
      <c r="AG141" s="123">
        <f t="shared" si="80"/>
        <v>0</v>
      </c>
      <c r="AH141" s="124"/>
      <c r="AI141" s="123"/>
      <c r="AJ141" s="123">
        <f>AI141*1.12</f>
        <v>0</v>
      </c>
      <c r="AK141" s="123"/>
      <c r="AL141" s="126">
        <f t="shared" si="37"/>
        <v>0</v>
      </c>
      <c r="AM141" s="127">
        <f>AF141</f>
        <v>0</v>
      </c>
      <c r="AN141" s="127"/>
      <c r="AO141" s="127"/>
      <c r="AP141" s="123">
        <f>AF141</f>
        <v>0</v>
      </c>
      <c r="AQ141" s="123">
        <f t="shared" si="81"/>
        <v>0</v>
      </c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06"/>
      <c r="BH141" s="106"/>
      <c r="BI141" s="106"/>
      <c r="BJ141" s="106"/>
      <c r="BK141" s="106"/>
      <c r="BL141" s="106"/>
      <c r="BM141" s="106"/>
      <c r="BN141" s="106"/>
      <c r="BQ141" s="29"/>
      <c r="BR141" s="107"/>
      <c r="BS141" s="106"/>
    </row>
    <row r="142" spans="1:71" x14ac:dyDescent="0.35">
      <c r="A142" s="499"/>
      <c r="B142" s="470"/>
      <c r="C142" s="129" t="s">
        <v>74</v>
      </c>
      <c r="D142" s="129" t="s">
        <v>76</v>
      </c>
      <c r="E142" s="187">
        <f>E141</f>
        <v>113822</v>
      </c>
      <c r="F142" s="187">
        <f>F141</f>
        <v>127480.64000000001</v>
      </c>
      <c r="G142" s="494"/>
      <c r="H142" s="497"/>
      <c r="I142" s="191">
        <f>I141</f>
        <v>13015.178571428571</v>
      </c>
      <c r="J142" s="191">
        <f>J141</f>
        <v>14577</v>
      </c>
      <c r="K142" s="463"/>
      <c r="L142" s="502"/>
      <c r="M142" s="459"/>
      <c r="N142" s="132">
        <f t="shared" si="76"/>
        <v>62807836.598214276</v>
      </c>
      <c r="O142" s="132">
        <f t="shared" si="76"/>
        <v>70344776.989999995</v>
      </c>
      <c r="P142" s="132">
        <f t="shared" si="77"/>
        <v>62807836.598214276</v>
      </c>
      <c r="Q142" s="132">
        <f>Q141</f>
        <v>70344776.989999995</v>
      </c>
      <c r="R142" s="454"/>
      <c r="S142" s="448"/>
      <c r="T142" s="131"/>
      <c r="U142" s="131"/>
      <c r="V142" s="131"/>
      <c r="W142" s="131">
        <f>W141</f>
        <v>56000.632928571329</v>
      </c>
      <c r="X142" s="130">
        <f t="shared" si="78"/>
        <v>62720.708879999896</v>
      </c>
      <c r="Y142" s="131"/>
      <c r="Z142" s="131">
        <f t="shared" si="79"/>
        <v>56000.632928571329</v>
      </c>
      <c r="AA142" s="131">
        <f t="shared" si="79"/>
        <v>62720.708879999896</v>
      </c>
      <c r="AB142" s="131"/>
      <c r="AC142" s="131">
        <f>AC141</f>
        <v>13015.178571428571</v>
      </c>
      <c r="AD142" s="131">
        <f>AD141</f>
        <v>14577</v>
      </c>
      <c r="AE142" s="131"/>
      <c r="AF142" s="131">
        <f>AF141</f>
        <v>0</v>
      </c>
      <c r="AG142" s="130">
        <f t="shared" si="80"/>
        <v>0</v>
      </c>
      <c r="AH142" s="131"/>
      <c r="AI142" s="130">
        <f>AI141</f>
        <v>0</v>
      </c>
      <c r="AJ142" s="130">
        <f>AJ141</f>
        <v>0</v>
      </c>
      <c r="AK142" s="130"/>
      <c r="AL142" s="133">
        <f t="shared" si="37"/>
        <v>0</v>
      </c>
      <c r="AM142" s="134">
        <f>AF142</f>
        <v>0</v>
      </c>
      <c r="AN142" s="134"/>
      <c r="AO142" s="134"/>
      <c r="AP142" s="130">
        <f>AF142</f>
        <v>0</v>
      </c>
      <c r="AQ142" s="130">
        <f t="shared" si="81"/>
        <v>0</v>
      </c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31"/>
      <c r="BH142" s="31"/>
      <c r="BI142" s="31"/>
      <c r="BJ142" s="31"/>
      <c r="BK142" s="31"/>
      <c r="BL142" s="31"/>
      <c r="BM142" s="31"/>
      <c r="BN142" s="31"/>
      <c r="BQ142" s="27"/>
      <c r="BR142" s="28"/>
      <c r="BS142" s="31"/>
    </row>
    <row r="143" spans="1:71" s="227" customFormat="1" x14ac:dyDescent="0.35">
      <c r="A143" s="499"/>
      <c r="B143" s="470"/>
      <c r="C143" s="217" t="s">
        <v>72</v>
      </c>
      <c r="D143" s="217" t="s">
        <v>73</v>
      </c>
      <c r="E143" s="218"/>
      <c r="F143" s="218"/>
      <c r="G143" s="494"/>
      <c r="H143" s="497"/>
      <c r="I143" s="219"/>
      <c r="J143" s="219"/>
      <c r="K143" s="463" t="s">
        <v>123</v>
      </c>
      <c r="L143" s="454" t="s">
        <v>124</v>
      </c>
      <c r="M143" s="459" t="s">
        <v>113</v>
      </c>
      <c r="N143" s="220">
        <f t="shared" si="76"/>
        <v>29833722.330357142</v>
      </c>
      <c r="O143" s="220">
        <f t="shared" si="76"/>
        <v>33413769.010000002</v>
      </c>
      <c r="P143" s="220">
        <f t="shared" si="77"/>
        <v>29833722.330357142</v>
      </c>
      <c r="Q143" s="220">
        <f>33413769.01</f>
        <v>33413769.010000002</v>
      </c>
      <c r="R143" s="454" t="s">
        <v>125</v>
      </c>
      <c r="S143" s="448">
        <v>15</v>
      </c>
      <c r="T143" s="221"/>
      <c r="U143" s="221"/>
      <c r="V143" s="221"/>
      <c r="W143" s="221">
        <v>12450</v>
      </c>
      <c r="X143" s="222">
        <f t="shared" si="78"/>
        <v>13944.000000000002</v>
      </c>
      <c r="Y143" s="221">
        <f>9+6</f>
        <v>15</v>
      </c>
      <c r="Z143" s="221">
        <f t="shared" si="79"/>
        <v>12450</v>
      </c>
      <c r="AA143" s="221">
        <f t="shared" si="79"/>
        <v>13944.000000000002</v>
      </c>
      <c r="AB143" s="221">
        <f t="shared" si="79"/>
        <v>15</v>
      </c>
      <c r="AC143" s="221"/>
      <c r="AD143" s="221"/>
      <c r="AE143" s="221"/>
      <c r="AF143" s="221"/>
      <c r="AG143" s="222">
        <f t="shared" si="80"/>
        <v>0</v>
      </c>
      <c r="AH143" s="221"/>
      <c r="AI143" s="222"/>
      <c r="AJ143" s="222">
        <f>AI143*1.12</f>
        <v>0</v>
      </c>
      <c r="AK143" s="222">
        <f>AH143-AE143</f>
        <v>0</v>
      </c>
      <c r="AL143" s="223" t="str">
        <f t="shared" si="37"/>
        <v/>
      </c>
      <c r="AM143" s="224"/>
      <c r="AN143" s="224"/>
      <c r="AO143" s="224"/>
      <c r="AP143" s="222"/>
      <c r="AQ143" s="222">
        <f t="shared" si="81"/>
        <v>0</v>
      </c>
      <c r="AR143" s="222"/>
      <c r="AS143" s="222"/>
      <c r="AT143" s="222"/>
      <c r="AU143" s="222"/>
      <c r="AV143" s="222"/>
      <c r="AW143" s="222"/>
      <c r="AX143" s="222"/>
      <c r="AY143" s="222"/>
      <c r="AZ143" s="225"/>
      <c r="BA143" s="222"/>
      <c r="BB143" s="222"/>
      <c r="BC143" s="222"/>
      <c r="BD143" s="222"/>
      <c r="BE143" s="222"/>
      <c r="BF143" s="222"/>
      <c r="BG143" s="226"/>
      <c r="BH143" s="226"/>
      <c r="BI143" s="226"/>
      <c r="BJ143" s="226"/>
      <c r="BK143" s="226"/>
      <c r="BL143" s="226"/>
      <c r="BM143" s="226"/>
      <c r="BN143" s="226"/>
      <c r="BQ143" s="228"/>
      <c r="BR143" s="229"/>
      <c r="BS143" s="226"/>
    </row>
    <row r="144" spans="1:71" s="103" customFormat="1" x14ac:dyDescent="0.35">
      <c r="A144" s="499"/>
      <c r="B144" s="470"/>
      <c r="C144" s="122" t="s">
        <v>74</v>
      </c>
      <c r="D144" s="122" t="s">
        <v>75</v>
      </c>
      <c r="E144" s="185"/>
      <c r="F144" s="185"/>
      <c r="G144" s="494"/>
      <c r="H144" s="497"/>
      <c r="I144" s="189"/>
      <c r="J144" s="189"/>
      <c r="K144" s="463"/>
      <c r="L144" s="454"/>
      <c r="M144" s="459"/>
      <c r="N144" s="125">
        <f t="shared" si="76"/>
        <v>29833722.330357142</v>
      </c>
      <c r="O144" s="125">
        <f t="shared" si="76"/>
        <v>33413769.010000002</v>
      </c>
      <c r="P144" s="125">
        <f t="shared" si="77"/>
        <v>29833722.330357142</v>
      </c>
      <c r="Q144" s="125">
        <f>Q143</f>
        <v>33413769.010000002</v>
      </c>
      <c r="R144" s="454"/>
      <c r="S144" s="448"/>
      <c r="T144" s="124"/>
      <c r="U144" s="124"/>
      <c r="V144" s="124"/>
      <c r="W144" s="124"/>
      <c r="X144" s="123">
        <f t="shared" si="78"/>
        <v>0</v>
      </c>
      <c r="Y144" s="124"/>
      <c r="Z144" s="124">
        <f t="shared" si="79"/>
        <v>0</v>
      </c>
      <c r="AA144" s="124">
        <f t="shared" si="79"/>
        <v>0</v>
      </c>
      <c r="AB144" s="124"/>
      <c r="AC144" s="124"/>
      <c r="AD144" s="124">
        <f>AC144*1.12</f>
        <v>0</v>
      </c>
      <c r="AE144" s="124"/>
      <c r="AF144" s="124">
        <f>10458.0888/1.12</f>
        <v>9337.5792857142842</v>
      </c>
      <c r="AG144" s="123">
        <f t="shared" si="80"/>
        <v>10458.0888</v>
      </c>
      <c r="AH144" s="124"/>
      <c r="AI144" s="123">
        <f>AF141+AF144-(AC141+AC144)</f>
        <v>-3677.5992857142865</v>
      </c>
      <c r="AJ144" s="123">
        <f>AI144*1.12</f>
        <v>-4118.9112000000014</v>
      </c>
      <c r="AK144" s="123"/>
      <c r="AL144" s="126" t="str">
        <f t="shared" si="37"/>
        <v/>
      </c>
      <c r="AM144" s="127">
        <f>AF144</f>
        <v>9337.5792857142842</v>
      </c>
      <c r="AN144" s="127"/>
      <c r="AO144" s="127"/>
      <c r="AP144" s="123">
        <f>AF144</f>
        <v>9337.5792857142842</v>
      </c>
      <c r="AQ144" s="123">
        <f t="shared" si="81"/>
        <v>10458.0888</v>
      </c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3"/>
      <c r="BE144" s="123"/>
      <c r="BF144" s="123"/>
      <c r="BG144" s="106"/>
      <c r="BH144" s="106"/>
      <c r="BI144" s="106"/>
      <c r="BJ144" s="106"/>
      <c r="BK144" s="106"/>
      <c r="BL144" s="106"/>
      <c r="BM144" s="106"/>
      <c r="BN144" s="106"/>
      <c r="BQ144" s="29"/>
      <c r="BR144" s="107"/>
      <c r="BS144" s="106"/>
    </row>
    <row r="145" spans="1:71" x14ac:dyDescent="0.35">
      <c r="A145" s="439"/>
      <c r="B145" s="437"/>
      <c r="C145" s="129" t="s">
        <v>74</v>
      </c>
      <c r="D145" s="129" t="s">
        <v>76</v>
      </c>
      <c r="E145" s="187"/>
      <c r="F145" s="187"/>
      <c r="G145" s="495"/>
      <c r="H145" s="498"/>
      <c r="I145" s="191"/>
      <c r="J145" s="191"/>
      <c r="K145" s="463"/>
      <c r="L145" s="454"/>
      <c r="M145" s="459"/>
      <c r="N145" s="132">
        <f t="shared" si="76"/>
        <v>29833722.330357142</v>
      </c>
      <c r="O145" s="132">
        <f t="shared" si="76"/>
        <v>33413769.010000002</v>
      </c>
      <c r="P145" s="132">
        <f t="shared" si="77"/>
        <v>29833722.330357142</v>
      </c>
      <c r="Q145" s="132">
        <f>Q144</f>
        <v>33413769.010000002</v>
      </c>
      <c r="R145" s="454"/>
      <c r="S145" s="448"/>
      <c r="T145" s="131"/>
      <c r="U145" s="131"/>
      <c r="V145" s="131"/>
      <c r="W145" s="131">
        <f>W144</f>
        <v>0</v>
      </c>
      <c r="X145" s="130">
        <f t="shared" si="78"/>
        <v>0</v>
      </c>
      <c r="Y145" s="131"/>
      <c r="Z145" s="131">
        <f t="shared" si="79"/>
        <v>0</v>
      </c>
      <c r="AA145" s="131">
        <f t="shared" si="79"/>
        <v>0</v>
      </c>
      <c r="AB145" s="131"/>
      <c r="AC145" s="131">
        <f>AC144</f>
        <v>0</v>
      </c>
      <c r="AD145" s="131">
        <f>AD144</f>
        <v>0</v>
      </c>
      <c r="AE145" s="131"/>
      <c r="AF145" s="131">
        <f>AF144</f>
        <v>9337.5792857142842</v>
      </c>
      <c r="AG145" s="130">
        <f t="shared" si="80"/>
        <v>10458.0888</v>
      </c>
      <c r="AH145" s="131"/>
      <c r="AI145" s="130">
        <f>AI144</f>
        <v>-3677.5992857142865</v>
      </c>
      <c r="AJ145" s="130">
        <f>AJ144</f>
        <v>-4118.9112000000014</v>
      </c>
      <c r="AK145" s="130"/>
      <c r="AL145" s="133" t="str">
        <f t="shared" si="37"/>
        <v/>
      </c>
      <c r="AM145" s="134">
        <f>AF145</f>
        <v>9337.5792857142842</v>
      </c>
      <c r="AN145" s="134"/>
      <c r="AO145" s="134"/>
      <c r="AP145" s="130">
        <f>AF145</f>
        <v>9337.5792857142842</v>
      </c>
      <c r="AQ145" s="130">
        <f t="shared" si="81"/>
        <v>10458.0888</v>
      </c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31"/>
      <c r="BH145" s="31"/>
      <c r="BI145" s="31"/>
      <c r="BJ145" s="31"/>
      <c r="BK145" s="31"/>
      <c r="BL145" s="31"/>
      <c r="BM145" s="31"/>
      <c r="BN145" s="31"/>
      <c r="BQ145" s="27"/>
      <c r="BR145" s="28"/>
      <c r="BS145" s="31"/>
    </row>
    <row r="146" spans="1:71" s="212" customFormat="1" x14ac:dyDescent="0.35">
      <c r="A146" s="438">
        <v>2</v>
      </c>
      <c r="B146" s="512" t="s">
        <v>126</v>
      </c>
      <c r="C146" s="202" t="s">
        <v>72</v>
      </c>
      <c r="D146" s="210"/>
      <c r="E146" s="203">
        <f>E148+E151+E154+E157+E160+E163+E166+E169+E172</f>
        <v>469066</v>
      </c>
      <c r="F146" s="203">
        <f>F148+F151+F154+F157+F160+F163+F166+F169+F172</f>
        <v>525353.92000000004</v>
      </c>
      <c r="G146" s="204"/>
      <c r="H146" s="203">
        <f>H148+H151+H154+H157+H160+H163+H166+H169+H172</f>
        <v>0</v>
      </c>
      <c r="I146" s="203">
        <f>I148+I151+I154+I157+I160+I163+I166+I169+I172</f>
        <v>0</v>
      </c>
      <c r="J146" s="203">
        <f>J148+J151+J154+J157+J160+J163+J166+J169+J172</f>
        <v>0</v>
      </c>
      <c r="K146" s="515" t="s">
        <v>127</v>
      </c>
      <c r="L146" s="516"/>
      <c r="M146" s="519"/>
      <c r="N146" s="205">
        <f t="shared" ref="N146:Q147" si="82">N148+N151+N154+N157+N160+N163+N166+N169+N172</f>
        <v>383395241.5535714</v>
      </c>
      <c r="O146" s="205">
        <f t="shared" si="82"/>
        <v>429402670.53999996</v>
      </c>
      <c r="P146" s="205">
        <f t="shared" si="82"/>
        <v>383395241.5535714</v>
      </c>
      <c r="Q146" s="205">
        <f t="shared" si="82"/>
        <v>429402670.53999996</v>
      </c>
      <c r="R146" s="206"/>
      <c r="S146" s="492">
        <f>S148+S151+S154+S157+S160+S163+S166+S169</f>
        <v>196</v>
      </c>
      <c r="T146" s="203">
        <f t="shared" ref="T146:AK147" si="83">T148+T151+T154+T157+T160+T163+T166+T169+T172</f>
        <v>0</v>
      </c>
      <c r="U146" s="203">
        <f t="shared" si="83"/>
        <v>0</v>
      </c>
      <c r="V146" s="203">
        <f t="shared" si="83"/>
        <v>0</v>
      </c>
      <c r="W146" s="203">
        <f t="shared" si="83"/>
        <v>333232</v>
      </c>
      <c r="X146" s="203">
        <f t="shared" si="83"/>
        <v>373219.84000000008</v>
      </c>
      <c r="Y146" s="203">
        <f t="shared" si="83"/>
        <v>196</v>
      </c>
      <c r="Z146" s="203">
        <f t="shared" si="83"/>
        <v>333232</v>
      </c>
      <c r="AA146" s="203">
        <f t="shared" si="83"/>
        <v>373219.84000000008</v>
      </c>
      <c r="AB146" s="203">
        <f t="shared" si="83"/>
        <v>196</v>
      </c>
      <c r="AC146" s="203">
        <f t="shared" si="83"/>
        <v>0</v>
      </c>
      <c r="AD146" s="203">
        <f t="shared" si="83"/>
        <v>0</v>
      </c>
      <c r="AE146" s="203">
        <f t="shared" si="83"/>
        <v>0</v>
      </c>
      <c r="AF146" s="203">
        <f t="shared" si="83"/>
        <v>0</v>
      </c>
      <c r="AG146" s="203">
        <f t="shared" si="83"/>
        <v>0</v>
      </c>
      <c r="AH146" s="203">
        <f t="shared" si="83"/>
        <v>0</v>
      </c>
      <c r="AI146" s="203">
        <f>AI148+AI151+AI154+AI157+AI160+AI163+AI166+AI169+AI172</f>
        <v>0</v>
      </c>
      <c r="AJ146" s="203">
        <f t="shared" si="83"/>
        <v>0</v>
      </c>
      <c r="AK146" s="203">
        <f t="shared" si="83"/>
        <v>0</v>
      </c>
      <c r="AL146" s="208" t="str">
        <f>IF(AC146=0,"",AF146/AC146)</f>
        <v/>
      </c>
      <c r="AM146" s="203">
        <f t="shared" ref="AM146:BF147" si="84">AM148+AM151+AM154+AM157+AM160+AM163+AM166+AM169+AM172</f>
        <v>0</v>
      </c>
      <c r="AN146" s="203">
        <f t="shared" si="84"/>
        <v>0</v>
      </c>
      <c r="AO146" s="203">
        <f t="shared" si="84"/>
        <v>0</v>
      </c>
      <c r="AP146" s="203">
        <f t="shared" si="84"/>
        <v>0</v>
      </c>
      <c r="AQ146" s="203">
        <f t="shared" si="84"/>
        <v>0</v>
      </c>
      <c r="AR146" s="203">
        <f t="shared" si="84"/>
        <v>0</v>
      </c>
      <c r="AS146" s="203">
        <f t="shared" si="84"/>
        <v>0</v>
      </c>
      <c r="AT146" s="203">
        <f t="shared" si="84"/>
        <v>0</v>
      </c>
      <c r="AU146" s="203">
        <f t="shared" si="84"/>
        <v>0</v>
      </c>
      <c r="AV146" s="203">
        <f t="shared" si="84"/>
        <v>0</v>
      </c>
      <c r="AW146" s="203">
        <f t="shared" si="84"/>
        <v>0</v>
      </c>
      <c r="AX146" s="203">
        <f t="shared" si="84"/>
        <v>0</v>
      </c>
      <c r="AY146" s="203">
        <f t="shared" si="84"/>
        <v>0</v>
      </c>
      <c r="AZ146" s="203">
        <f t="shared" si="84"/>
        <v>0</v>
      </c>
      <c r="BA146" s="203">
        <f t="shared" si="84"/>
        <v>0</v>
      </c>
      <c r="BB146" s="203">
        <f t="shared" si="84"/>
        <v>0</v>
      </c>
      <c r="BC146" s="203">
        <f t="shared" si="84"/>
        <v>0</v>
      </c>
      <c r="BD146" s="203">
        <f t="shared" si="84"/>
        <v>0</v>
      </c>
      <c r="BE146" s="203">
        <f t="shared" si="84"/>
        <v>0</v>
      </c>
      <c r="BF146" s="203">
        <f t="shared" si="84"/>
        <v>0</v>
      </c>
      <c r="BG146" s="209" t="s">
        <v>84</v>
      </c>
      <c r="BH146" s="210"/>
      <c r="BI146" s="207">
        <f t="shared" ref="BI146:BK147" si="85">BI148+BI151+BI154+BI157+BI160+BI163+BI166+BI169</f>
        <v>0</v>
      </c>
      <c r="BJ146" s="207">
        <f t="shared" si="85"/>
        <v>0</v>
      </c>
      <c r="BK146" s="207">
        <f t="shared" si="85"/>
        <v>0</v>
      </c>
      <c r="BL146" s="211"/>
      <c r="BM146" s="211"/>
      <c r="BN146" s="210"/>
      <c r="BQ146" s="213"/>
      <c r="BR146" s="214"/>
      <c r="BS146" s="210"/>
    </row>
    <row r="147" spans="1:71" s="212" customFormat="1" x14ac:dyDescent="0.35">
      <c r="A147" s="499"/>
      <c r="B147" s="513"/>
      <c r="C147" s="202" t="s">
        <v>74</v>
      </c>
      <c r="D147" s="204"/>
      <c r="E147" s="203">
        <f>E149+E152+E155+E158+E161+E164+E167+E170+E173</f>
        <v>469066</v>
      </c>
      <c r="F147" s="203">
        <f>F149+F152+F155+F158+F161+F164+F167+F170+F173</f>
        <v>525353.92000000004</v>
      </c>
      <c r="G147" s="204"/>
      <c r="H147" s="203"/>
      <c r="I147" s="203">
        <f>I149+I152+I155+I158+I161+I164+I167+I170+I173</f>
        <v>19183.928571428569</v>
      </c>
      <c r="J147" s="203">
        <f>J149+J152+J155+J158+J161+J164+J167+J170+J173</f>
        <v>21486</v>
      </c>
      <c r="K147" s="517"/>
      <c r="L147" s="518"/>
      <c r="M147" s="520"/>
      <c r="N147" s="205">
        <f t="shared" si="82"/>
        <v>383395241.5535714</v>
      </c>
      <c r="O147" s="205">
        <f t="shared" si="82"/>
        <v>429402670.53999996</v>
      </c>
      <c r="P147" s="205">
        <f t="shared" si="82"/>
        <v>383395241.5535714</v>
      </c>
      <c r="Q147" s="205">
        <f t="shared" si="82"/>
        <v>429402670.53999996</v>
      </c>
      <c r="R147" s="206"/>
      <c r="S147" s="492"/>
      <c r="T147" s="203">
        <f t="shared" si="83"/>
        <v>0</v>
      </c>
      <c r="U147" s="203">
        <f t="shared" si="83"/>
        <v>0</v>
      </c>
      <c r="V147" s="203"/>
      <c r="W147" s="203">
        <f t="shared" si="83"/>
        <v>254712.05160714284</v>
      </c>
      <c r="X147" s="203">
        <f t="shared" si="83"/>
        <v>285277.49779999995</v>
      </c>
      <c r="Y147" s="203"/>
      <c r="Z147" s="203">
        <f t="shared" si="83"/>
        <v>254712.05160714284</v>
      </c>
      <c r="AA147" s="203">
        <f t="shared" si="83"/>
        <v>285277.49779999995</v>
      </c>
      <c r="AB147" s="203"/>
      <c r="AC147" s="203">
        <f t="shared" si="83"/>
        <v>19183.928571428569</v>
      </c>
      <c r="AD147" s="203">
        <f t="shared" si="83"/>
        <v>21486</v>
      </c>
      <c r="AE147" s="203"/>
      <c r="AF147" s="203">
        <f t="shared" si="83"/>
        <v>19184.0768125</v>
      </c>
      <c r="AG147" s="203">
        <f t="shared" si="83"/>
        <v>21486.16603</v>
      </c>
      <c r="AH147" s="203"/>
      <c r="AI147" s="203">
        <f t="shared" si="83"/>
        <v>0.14824107143067522</v>
      </c>
      <c r="AJ147" s="203">
        <f t="shared" si="83"/>
        <v>0.16603000000235626</v>
      </c>
      <c r="AK147" s="203"/>
      <c r="AL147" s="208">
        <f>IF(AC147=0,"",AF147/AC147)</f>
        <v>1.0000077273573491</v>
      </c>
      <c r="AM147" s="203">
        <f t="shared" si="84"/>
        <v>19184.0768125</v>
      </c>
      <c r="AN147" s="203">
        <f t="shared" si="84"/>
        <v>0</v>
      </c>
      <c r="AO147" s="203">
        <f t="shared" si="84"/>
        <v>0</v>
      </c>
      <c r="AP147" s="203">
        <f t="shared" si="84"/>
        <v>19183.928571428569</v>
      </c>
      <c r="AQ147" s="203">
        <f t="shared" si="84"/>
        <v>21486</v>
      </c>
      <c r="AR147" s="203"/>
      <c r="AS147" s="203">
        <f t="shared" si="84"/>
        <v>0</v>
      </c>
      <c r="AT147" s="203">
        <f t="shared" si="84"/>
        <v>0</v>
      </c>
      <c r="AU147" s="203">
        <f t="shared" si="84"/>
        <v>0</v>
      </c>
      <c r="AV147" s="203">
        <f t="shared" si="84"/>
        <v>0</v>
      </c>
      <c r="AW147" s="203">
        <f t="shared" si="84"/>
        <v>0</v>
      </c>
      <c r="AX147" s="203">
        <f t="shared" si="84"/>
        <v>0</v>
      </c>
      <c r="AY147" s="203">
        <f t="shared" si="84"/>
        <v>0</v>
      </c>
      <c r="AZ147" s="203">
        <f t="shared" si="84"/>
        <v>0</v>
      </c>
      <c r="BA147" s="203">
        <f t="shared" si="84"/>
        <v>0</v>
      </c>
      <c r="BB147" s="203">
        <f t="shared" si="84"/>
        <v>0</v>
      </c>
      <c r="BC147" s="203">
        <f t="shared" si="84"/>
        <v>0</v>
      </c>
      <c r="BD147" s="203">
        <f t="shared" si="84"/>
        <v>0</v>
      </c>
      <c r="BE147" s="203">
        <f t="shared" si="84"/>
        <v>0</v>
      </c>
      <c r="BF147" s="203">
        <f t="shared" si="84"/>
        <v>0</v>
      </c>
      <c r="BG147" s="230"/>
      <c r="BH147" s="210"/>
      <c r="BI147" s="207">
        <f t="shared" si="85"/>
        <v>0</v>
      </c>
      <c r="BJ147" s="207">
        <f t="shared" si="85"/>
        <v>0</v>
      </c>
      <c r="BK147" s="207">
        <f t="shared" si="85"/>
        <v>0</v>
      </c>
      <c r="BL147" s="211"/>
      <c r="BM147" s="211"/>
      <c r="BN147" s="210"/>
      <c r="BQ147" s="213"/>
      <c r="BR147" s="214"/>
      <c r="BS147" s="210"/>
    </row>
    <row r="148" spans="1:71" s="227" customFormat="1" x14ac:dyDescent="0.35">
      <c r="A148" s="499"/>
      <c r="B148" s="513"/>
      <c r="C148" s="217" t="s">
        <v>72</v>
      </c>
      <c r="D148" s="217" t="s">
        <v>73</v>
      </c>
      <c r="E148" s="218">
        <v>469066</v>
      </c>
      <c r="F148" s="218">
        <f>E148*1.12</f>
        <v>525353.92000000004</v>
      </c>
      <c r="G148" s="493">
        <v>1919</v>
      </c>
      <c r="H148" s="496"/>
      <c r="I148" s="219"/>
      <c r="J148" s="219">
        <f>I148*1.12</f>
        <v>0</v>
      </c>
      <c r="K148" s="463" t="s">
        <v>120</v>
      </c>
      <c r="L148" s="502" t="s">
        <v>121</v>
      </c>
      <c r="M148" s="467" t="s">
        <v>113</v>
      </c>
      <c r="N148" s="220">
        <f t="shared" ref="N148:O171" si="86">P148</f>
        <v>48902454.508928567</v>
      </c>
      <c r="O148" s="220">
        <f t="shared" si="86"/>
        <v>54770749.049999997</v>
      </c>
      <c r="P148" s="220">
        <f t="shared" ref="P148:P174" si="87">Q148/1.12</f>
        <v>48902454.508928567</v>
      </c>
      <c r="Q148" s="220">
        <v>54770749.049999997</v>
      </c>
      <c r="R148" s="454" t="s">
        <v>128</v>
      </c>
      <c r="S148" s="448">
        <v>25</v>
      </c>
      <c r="T148" s="221"/>
      <c r="U148" s="221"/>
      <c r="V148" s="221"/>
      <c r="W148" s="221">
        <f>36072+8996+2281+7016+1329</f>
        <v>55694</v>
      </c>
      <c r="X148" s="222">
        <f>W148*1.12</f>
        <v>62377.280000000006</v>
      </c>
      <c r="Y148" s="221">
        <f>18+4+3</f>
        <v>25</v>
      </c>
      <c r="Z148" s="221">
        <f t="shared" ref="Z148:AB171" si="88">T148+W148</f>
        <v>55694</v>
      </c>
      <c r="AA148" s="221">
        <f t="shared" si="88"/>
        <v>62377.280000000006</v>
      </c>
      <c r="AB148" s="221">
        <f t="shared" si="88"/>
        <v>25</v>
      </c>
      <c r="AC148" s="221"/>
      <c r="AD148" s="221">
        <f>AC148*1.12</f>
        <v>0</v>
      </c>
      <c r="AE148" s="221"/>
      <c r="AF148" s="221"/>
      <c r="AG148" s="222">
        <f>AF148*1.12</f>
        <v>0</v>
      </c>
      <c r="AH148" s="221"/>
      <c r="AI148" s="222"/>
      <c r="AJ148" s="222">
        <f>AI148*1.12</f>
        <v>0</v>
      </c>
      <c r="AK148" s="222">
        <f>AH148-AE148</f>
        <v>0</v>
      </c>
      <c r="AL148" s="223"/>
      <c r="AM148" s="224"/>
      <c r="AN148" s="224"/>
      <c r="AO148" s="224"/>
      <c r="AP148" s="222"/>
      <c r="AQ148" s="222">
        <f t="shared" ref="AQ148:AQ174" si="89">AP148*1.12</f>
        <v>0</v>
      </c>
      <c r="AR148" s="222">
        <f>S148</f>
        <v>25</v>
      </c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31"/>
      <c r="BH148" s="231"/>
      <c r="BI148" s="226"/>
      <c r="BJ148" s="226"/>
      <c r="BK148" s="226"/>
      <c r="BL148" s="231"/>
      <c r="BM148" s="231"/>
      <c r="BN148" s="226"/>
      <c r="BQ148" s="228"/>
      <c r="BR148" s="229"/>
      <c r="BS148" s="226"/>
    </row>
    <row r="149" spans="1:71" s="103" customFormat="1" x14ac:dyDescent="0.35">
      <c r="A149" s="499"/>
      <c r="B149" s="513"/>
      <c r="C149" s="122" t="s">
        <v>74</v>
      </c>
      <c r="D149" s="122" t="s">
        <v>75</v>
      </c>
      <c r="E149" s="185">
        <f>E150</f>
        <v>469066</v>
      </c>
      <c r="F149" s="185">
        <f>F150</f>
        <v>525353.92000000004</v>
      </c>
      <c r="G149" s="494"/>
      <c r="H149" s="497"/>
      <c r="I149" s="189">
        <v>19183.928571428569</v>
      </c>
      <c r="J149" s="189">
        <f>J150</f>
        <v>21486</v>
      </c>
      <c r="K149" s="463"/>
      <c r="L149" s="502"/>
      <c r="M149" s="468"/>
      <c r="N149" s="125">
        <f t="shared" si="86"/>
        <v>48902454.508928567</v>
      </c>
      <c r="O149" s="125">
        <f t="shared" si="86"/>
        <v>54770749.049999997</v>
      </c>
      <c r="P149" s="125">
        <f t="shared" si="87"/>
        <v>48902454.508928567</v>
      </c>
      <c r="Q149" s="125">
        <f>Q148</f>
        <v>54770749.049999997</v>
      </c>
      <c r="R149" s="454"/>
      <c r="S149" s="448"/>
      <c r="T149" s="124"/>
      <c r="U149" s="124"/>
      <c r="V149" s="124"/>
      <c r="W149" s="124">
        <f>W150</f>
        <v>46988.976589285703</v>
      </c>
      <c r="X149" s="123">
        <f>X150</f>
        <v>52627.653779999993</v>
      </c>
      <c r="Y149" s="124"/>
      <c r="Z149" s="124">
        <f t="shared" si="88"/>
        <v>46988.976589285703</v>
      </c>
      <c r="AA149" s="124">
        <f t="shared" si="88"/>
        <v>52627.653779999993</v>
      </c>
      <c r="AB149" s="124"/>
      <c r="AC149" s="124">
        <v>19183.928571428569</v>
      </c>
      <c r="AD149" s="124">
        <f>AC149*1.12</f>
        <v>21486</v>
      </c>
      <c r="AE149" s="124"/>
      <c r="AF149" s="124">
        <f>AF150</f>
        <v>0</v>
      </c>
      <c r="AG149" s="123">
        <f>AG150</f>
        <v>0</v>
      </c>
      <c r="AH149" s="124"/>
      <c r="AI149" s="123"/>
      <c r="AJ149" s="123">
        <f>AI149*1.12</f>
        <v>0</v>
      </c>
      <c r="AK149" s="123"/>
      <c r="AL149" s="126"/>
      <c r="AM149" s="127">
        <f>AF149</f>
        <v>0</v>
      </c>
      <c r="AN149" s="127"/>
      <c r="AO149" s="127"/>
      <c r="AP149" s="123">
        <f>I149</f>
        <v>19183.928571428569</v>
      </c>
      <c r="AQ149" s="123">
        <f t="shared" si="89"/>
        <v>21486</v>
      </c>
      <c r="AR149" s="123"/>
      <c r="AS149" s="123"/>
      <c r="AT149" s="123"/>
      <c r="AU149" s="123"/>
      <c r="AV149" s="123"/>
      <c r="AW149" s="123"/>
      <c r="AX149" s="123"/>
      <c r="AY149" s="123"/>
      <c r="AZ149" s="123"/>
      <c r="BA149" s="123"/>
      <c r="BB149" s="123"/>
      <c r="BC149" s="123"/>
      <c r="BD149" s="123"/>
      <c r="BE149" s="123"/>
      <c r="BF149" s="123"/>
      <c r="BG149" s="232"/>
      <c r="BH149" s="232"/>
      <c r="BI149" s="106"/>
      <c r="BJ149" s="106"/>
      <c r="BK149" s="106"/>
      <c r="BL149" s="232"/>
      <c r="BM149" s="232"/>
      <c r="BN149" s="106"/>
      <c r="BQ149" s="29"/>
      <c r="BR149" s="107"/>
      <c r="BS149" s="106"/>
    </row>
    <row r="150" spans="1:71" x14ac:dyDescent="0.35">
      <c r="A150" s="499"/>
      <c r="B150" s="513"/>
      <c r="C150" s="129" t="s">
        <v>74</v>
      </c>
      <c r="D150" s="129" t="s">
        <v>76</v>
      </c>
      <c r="E150" s="187">
        <f>E148</f>
        <v>469066</v>
      </c>
      <c r="F150" s="187">
        <f>E150*1.12</f>
        <v>525353.92000000004</v>
      </c>
      <c r="G150" s="494"/>
      <c r="H150" s="497"/>
      <c r="I150" s="191">
        <f>I149</f>
        <v>19183.928571428569</v>
      </c>
      <c r="J150" s="191">
        <f>I150*1.12</f>
        <v>21486</v>
      </c>
      <c r="K150" s="463"/>
      <c r="L150" s="502"/>
      <c r="M150" s="469"/>
      <c r="N150" s="132">
        <f t="shared" si="86"/>
        <v>48902454.508928567</v>
      </c>
      <c r="O150" s="132">
        <f t="shared" si="86"/>
        <v>54770749.049999997</v>
      </c>
      <c r="P150" s="132">
        <f t="shared" si="87"/>
        <v>48902454.508928567</v>
      </c>
      <c r="Q150" s="132">
        <f>Q149</f>
        <v>54770749.049999997</v>
      </c>
      <c r="R150" s="454"/>
      <c r="S150" s="448"/>
      <c r="T150" s="131"/>
      <c r="U150" s="131"/>
      <c r="V150" s="131"/>
      <c r="W150" s="131">
        <f>34497.77486/1.12+12191.89664/1.12+5937.98228/1.12</f>
        <v>46988.976589285703</v>
      </c>
      <c r="X150" s="187">
        <f>W150*1.12</f>
        <v>52627.653779999993</v>
      </c>
      <c r="Y150" s="131"/>
      <c r="Z150" s="131">
        <f t="shared" si="88"/>
        <v>46988.976589285703</v>
      </c>
      <c r="AA150" s="131">
        <f t="shared" si="88"/>
        <v>52627.653779999993</v>
      </c>
      <c r="AB150" s="131"/>
      <c r="AC150" s="131">
        <f>AC149</f>
        <v>19183.928571428569</v>
      </c>
      <c r="AD150" s="131">
        <f>AD149</f>
        <v>21486</v>
      </c>
      <c r="AE150" s="131"/>
      <c r="AF150" s="131"/>
      <c r="AG150" s="187">
        <f>AF150*1.12</f>
        <v>0</v>
      </c>
      <c r="AH150" s="131"/>
      <c r="AI150" s="130">
        <f>AI149</f>
        <v>0</v>
      </c>
      <c r="AJ150" s="130">
        <f>AJ149</f>
        <v>0</v>
      </c>
      <c r="AK150" s="130"/>
      <c r="AL150" s="133"/>
      <c r="AM150" s="134">
        <f>AF150</f>
        <v>0</v>
      </c>
      <c r="AN150" s="134"/>
      <c r="AO150" s="134"/>
      <c r="AP150" s="130">
        <f>AP149</f>
        <v>19183.928571428569</v>
      </c>
      <c r="AQ150" s="130">
        <f t="shared" si="89"/>
        <v>21486</v>
      </c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233"/>
      <c r="BH150" s="233"/>
      <c r="BI150" s="31"/>
      <c r="BJ150" s="31"/>
      <c r="BK150" s="31"/>
      <c r="BL150" s="233"/>
      <c r="BM150" s="233"/>
      <c r="BN150" s="31"/>
      <c r="BQ150" s="27"/>
      <c r="BR150" s="28"/>
      <c r="BS150" s="31"/>
    </row>
    <row r="151" spans="1:71" s="227" customFormat="1" x14ac:dyDescent="0.35">
      <c r="A151" s="499"/>
      <c r="B151" s="513"/>
      <c r="C151" s="217" t="s">
        <v>72</v>
      </c>
      <c r="D151" s="217" t="s">
        <v>73</v>
      </c>
      <c r="E151" s="218"/>
      <c r="F151" s="218"/>
      <c r="G151" s="494"/>
      <c r="H151" s="497"/>
      <c r="I151" s="219"/>
      <c r="J151" s="219"/>
      <c r="K151" s="483" t="s">
        <v>129</v>
      </c>
      <c r="L151" s="480" t="s">
        <v>130</v>
      </c>
      <c r="M151" s="467" t="s">
        <v>113</v>
      </c>
      <c r="N151" s="220">
        <f t="shared" si="86"/>
        <v>176048834.99999997</v>
      </c>
      <c r="O151" s="220">
        <f t="shared" si="86"/>
        <v>197174695.19999999</v>
      </c>
      <c r="P151" s="220">
        <f t="shared" si="87"/>
        <v>176048834.99999997</v>
      </c>
      <c r="Q151" s="220">
        <f>109541498.08+43816598.56+43816598.56</f>
        <v>197174695.19999999</v>
      </c>
      <c r="R151" s="454" t="s">
        <v>128</v>
      </c>
      <c r="S151" s="448">
        <f>50+20+20</f>
        <v>90</v>
      </c>
      <c r="T151" s="221"/>
      <c r="U151" s="221"/>
      <c r="V151" s="221"/>
      <c r="W151" s="221">
        <f>34650+18089+41153+18585+15948-1886+2+9042+2067</f>
        <v>137650</v>
      </c>
      <c r="X151" s="222">
        <f>W151*1.12</f>
        <v>154168.00000000003</v>
      </c>
      <c r="Y151" s="221">
        <f>21+11+18+22+12+6</f>
        <v>90</v>
      </c>
      <c r="Z151" s="221">
        <f t="shared" si="88"/>
        <v>137650</v>
      </c>
      <c r="AA151" s="221">
        <f t="shared" si="88"/>
        <v>154168.00000000003</v>
      </c>
      <c r="AB151" s="221">
        <f t="shared" si="88"/>
        <v>90</v>
      </c>
      <c r="AC151" s="221"/>
      <c r="AD151" s="221"/>
      <c r="AE151" s="221"/>
      <c r="AF151" s="221"/>
      <c r="AG151" s="222">
        <f>AF151*1.12</f>
        <v>0</v>
      </c>
      <c r="AH151" s="221"/>
      <c r="AI151" s="222"/>
      <c r="AJ151" s="222">
        <f>AI151*1.12</f>
        <v>0</v>
      </c>
      <c r="AK151" s="222">
        <f>AH151-AE151</f>
        <v>0</v>
      </c>
      <c r="AL151" s="223" t="str">
        <f t="shared" ref="AL151:AL184" si="90">IF(AC151=0,"",AF151/AC151)</f>
        <v/>
      </c>
      <c r="AM151" s="224"/>
      <c r="AN151" s="224"/>
      <c r="AO151" s="224"/>
      <c r="AP151" s="222"/>
      <c r="AQ151" s="222">
        <f t="shared" si="89"/>
        <v>0</v>
      </c>
      <c r="AR151" s="222">
        <f>S151</f>
        <v>90</v>
      </c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31"/>
      <c r="BH151" s="231"/>
      <c r="BI151" s="226"/>
      <c r="BJ151" s="226"/>
      <c r="BK151" s="226"/>
      <c r="BL151" s="231"/>
      <c r="BM151" s="231"/>
      <c r="BN151" s="226"/>
      <c r="BQ151" s="228"/>
      <c r="BR151" s="229"/>
      <c r="BS151" s="226"/>
    </row>
    <row r="152" spans="1:71" s="103" customFormat="1" x14ac:dyDescent="0.35">
      <c r="A152" s="499"/>
      <c r="B152" s="513"/>
      <c r="C152" s="122" t="s">
        <v>74</v>
      </c>
      <c r="D152" s="122" t="s">
        <v>75</v>
      </c>
      <c r="E152" s="185"/>
      <c r="F152" s="185"/>
      <c r="G152" s="494"/>
      <c r="H152" s="497"/>
      <c r="I152" s="189"/>
      <c r="J152" s="189"/>
      <c r="K152" s="484"/>
      <c r="L152" s="481"/>
      <c r="M152" s="468"/>
      <c r="N152" s="125">
        <f t="shared" si="86"/>
        <v>176048834.99999997</v>
      </c>
      <c r="O152" s="125">
        <f t="shared" si="86"/>
        <v>197174695.19999999</v>
      </c>
      <c r="P152" s="125">
        <f t="shared" si="87"/>
        <v>176048834.99999997</v>
      </c>
      <c r="Q152" s="125">
        <f>Q151</f>
        <v>197174695.19999999</v>
      </c>
      <c r="R152" s="454"/>
      <c r="S152" s="448"/>
      <c r="T152" s="124"/>
      <c r="U152" s="124"/>
      <c r="V152" s="124"/>
      <c r="W152" s="124">
        <f>29157.35653/1.12+9629.5325/1.12+35297.06985/1.12+32727.74494/1.12+15930.32969/1.12+10464.83498/1.12</f>
        <v>118934.70400892856</v>
      </c>
      <c r="X152" s="123">
        <f>W152*1.12</f>
        <v>133206.86848999999</v>
      </c>
      <c r="Y152" s="124"/>
      <c r="Z152" s="124">
        <f t="shared" si="88"/>
        <v>118934.70400892856</v>
      </c>
      <c r="AA152" s="124">
        <f t="shared" si="88"/>
        <v>133206.86848999999</v>
      </c>
      <c r="AB152" s="124"/>
      <c r="AC152" s="124"/>
      <c r="AD152" s="124">
        <f>AC152*1.12</f>
        <v>0</v>
      </c>
      <c r="AE152" s="124"/>
      <c r="AF152" s="124"/>
      <c r="AG152" s="123">
        <f>AF152*1.12</f>
        <v>0</v>
      </c>
      <c r="AH152" s="124"/>
      <c r="AI152" s="123"/>
      <c r="AJ152" s="123">
        <f>AI152*1.12</f>
        <v>0</v>
      </c>
      <c r="AK152" s="123"/>
      <c r="AL152" s="126" t="str">
        <f t="shared" si="90"/>
        <v/>
      </c>
      <c r="AM152" s="127">
        <f>AF152</f>
        <v>0</v>
      </c>
      <c r="AN152" s="127"/>
      <c r="AO152" s="127"/>
      <c r="AP152" s="123"/>
      <c r="AQ152" s="123">
        <f t="shared" si="89"/>
        <v>0</v>
      </c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232"/>
      <c r="BH152" s="232"/>
      <c r="BI152" s="106"/>
      <c r="BJ152" s="106"/>
      <c r="BK152" s="106"/>
      <c r="BL152" s="232"/>
      <c r="BM152" s="232"/>
      <c r="BN152" s="106"/>
      <c r="BQ152" s="29"/>
      <c r="BR152" s="107"/>
      <c r="BS152" s="106"/>
    </row>
    <row r="153" spans="1:71" x14ac:dyDescent="0.35">
      <c r="A153" s="499"/>
      <c r="B153" s="513"/>
      <c r="C153" s="129" t="s">
        <v>74</v>
      </c>
      <c r="D153" s="129" t="s">
        <v>76</v>
      </c>
      <c r="E153" s="187"/>
      <c r="F153" s="187"/>
      <c r="G153" s="494"/>
      <c r="H153" s="497"/>
      <c r="I153" s="191"/>
      <c r="J153" s="191"/>
      <c r="K153" s="485"/>
      <c r="L153" s="482"/>
      <c r="M153" s="469"/>
      <c r="N153" s="132">
        <f t="shared" si="86"/>
        <v>176048834.99999997</v>
      </c>
      <c r="O153" s="132">
        <f t="shared" si="86"/>
        <v>197174695.19999999</v>
      </c>
      <c r="P153" s="132">
        <f t="shared" si="87"/>
        <v>176048834.99999997</v>
      </c>
      <c r="Q153" s="132">
        <f>Q152</f>
        <v>197174695.19999999</v>
      </c>
      <c r="R153" s="454"/>
      <c r="S153" s="448"/>
      <c r="T153" s="131"/>
      <c r="U153" s="131"/>
      <c r="V153" s="131"/>
      <c r="W153" s="131">
        <f>W152</f>
        <v>118934.70400892856</v>
      </c>
      <c r="X153" s="130">
        <f>X152</f>
        <v>133206.86848999999</v>
      </c>
      <c r="Y153" s="131"/>
      <c r="Z153" s="131">
        <f t="shared" si="88"/>
        <v>118934.70400892856</v>
      </c>
      <c r="AA153" s="131">
        <f t="shared" si="88"/>
        <v>133206.86848999999</v>
      </c>
      <c r="AB153" s="131"/>
      <c r="AC153" s="131">
        <f>AC152</f>
        <v>0</v>
      </c>
      <c r="AD153" s="131">
        <f>AD152</f>
        <v>0</v>
      </c>
      <c r="AE153" s="131"/>
      <c r="AF153" s="131">
        <f>AF152</f>
        <v>0</v>
      </c>
      <c r="AG153" s="130">
        <f>AG152</f>
        <v>0</v>
      </c>
      <c r="AH153" s="131"/>
      <c r="AI153" s="130">
        <f>AI152</f>
        <v>0</v>
      </c>
      <c r="AJ153" s="130">
        <f>AJ152</f>
        <v>0</v>
      </c>
      <c r="AK153" s="130"/>
      <c r="AL153" s="133" t="str">
        <f t="shared" si="90"/>
        <v/>
      </c>
      <c r="AM153" s="134">
        <f>AF153</f>
        <v>0</v>
      </c>
      <c r="AN153" s="134"/>
      <c r="AO153" s="134"/>
      <c r="AP153" s="130">
        <f>AP152</f>
        <v>0</v>
      </c>
      <c r="AQ153" s="130">
        <f t="shared" si="89"/>
        <v>0</v>
      </c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233"/>
      <c r="BH153" s="233"/>
      <c r="BI153" s="31"/>
      <c r="BJ153" s="31"/>
      <c r="BK153" s="31"/>
      <c r="BL153" s="233"/>
      <c r="BM153" s="233"/>
      <c r="BN153" s="31"/>
      <c r="BQ153" s="27"/>
      <c r="BR153" s="28"/>
      <c r="BS153" s="31"/>
    </row>
    <row r="154" spans="1:71" s="227" customFormat="1" x14ac:dyDescent="0.35">
      <c r="A154" s="499"/>
      <c r="B154" s="513"/>
      <c r="C154" s="217" t="s">
        <v>72</v>
      </c>
      <c r="D154" s="217" t="s">
        <v>73</v>
      </c>
      <c r="E154" s="218"/>
      <c r="F154" s="218"/>
      <c r="G154" s="494"/>
      <c r="H154" s="497"/>
      <c r="I154" s="219"/>
      <c r="J154" s="219"/>
      <c r="K154" s="463" t="s">
        <v>131</v>
      </c>
      <c r="L154" s="502" t="s">
        <v>132</v>
      </c>
      <c r="M154" s="459" t="s">
        <v>113</v>
      </c>
      <c r="N154" s="220">
        <f t="shared" si="86"/>
        <v>19560981.821428571</v>
      </c>
      <c r="O154" s="220">
        <f t="shared" si="86"/>
        <v>21908299.640000001</v>
      </c>
      <c r="P154" s="220">
        <f t="shared" si="87"/>
        <v>19560981.821428571</v>
      </c>
      <c r="Q154" s="220">
        <v>21908299.640000001</v>
      </c>
      <c r="R154" s="454" t="s">
        <v>128</v>
      </c>
      <c r="S154" s="448">
        <v>10</v>
      </c>
      <c r="T154" s="221"/>
      <c r="U154" s="221"/>
      <c r="V154" s="221"/>
      <c r="W154" s="221">
        <f>9937+2500+7688+485</f>
        <v>20610</v>
      </c>
      <c r="X154" s="222">
        <f>W154*1.12</f>
        <v>23083.200000000001</v>
      </c>
      <c r="Y154" s="221">
        <f>5+2+3</f>
        <v>10</v>
      </c>
      <c r="Z154" s="221">
        <f t="shared" si="88"/>
        <v>20610</v>
      </c>
      <c r="AA154" s="221">
        <f t="shared" si="88"/>
        <v>23083.200000000001</v>
      </c>
      <c r="AB154" s="221">
        <f t="shared" si="88"/>
        <v>10</v>
      </c>
      <c r="AC154" s="221"/>
      <c r="AD154" s="221"/>
      <c r="AE154" s="221"/>
      <c r="AF154" s="221"/>
      <c r="AG154" s="222">
        <f>AF154*1.12</f>
        <v>0</v>
      </c>
      <c r="AH154" s="221"/>
      <c r="AI154" s="222"/>
      <c r="AJ154" s="222">
        <f>AI154*1.12</f>
        <v>0</v>
      </c>
      <c r="AK154" s="222">
        <f>AH154-AE154</f>
        <v>0</v>
      </c>
      <c r="AL154" s="223" t="str">
        <f t="shared" si="90"/>
        <v/>
      </c>
      <c r="AM154" s="224"/>
      <c r="AN154" s="224"/>
      <c r="AO154" s="224"/>
      <c r="AP154" s="222"/>
      <c r="AQ154" s="222">
        <f t="shared" si="89"/>
        <v>0</v>
      </c>
      <c r="AR154" s="222">
        <f>S154</f>
        <v>10</v>
      </c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31"/>
      <c r="BH154" s="231"/>
      <c r="BI154" s="226"/>
      <c r="BJ154" s="226"/>
      <c r="BK154" s="226"/>
      <c r="BL154" s="231"/>
      <c r="BM154" s="231"/>
      <c r="BN154" s="226"/>
      <c r="BQ154" s="228"/>
      <c r="BR154" s="229"/>
      <c r="BS154" s="226"/>
    </row>
    <row r="155" spans="1:71" s="103" customFormat="1" x14ac:dyDescent="0.35">
      <c r="A155" s="499"/>
      <c r="B155" s="513"/>
      <c r="C155" s="122" t="s">
        <v>74</v>
      </c>
      <c r="D155" s="122" t="s">
        <v>75</v>
      </c>
      <c r="E155" s="185"/>
      <c r="F155" s="185"/>
      <c r="G155" s="494"/>
      <c r="H155" s="497"/>
      <c r="I155" s="189"/>
      <c r="J155" s="189"/>
      <c r="K155" s="463"/>
      <c r="L155" s="502"/>
      <c r="M155" s="459"/>
      <c r="N155" s="125">
        <f t="shared" si="86"/>
        <v>19560981.821428571</v>
      </c>
      <c r="O155" s="125">
        <f t="shared" si="86"/>
        <v>21908299.640000001</v>
      </c>
      <c r="P155" s="125">
        <f t="shared" si="87"/>
        <v>19560981.821428571</v>
      </c>
      <c r="Q155" s="125">
        <f>Q154</f>
        <v>21908299.640000001</v>
      </c>
      <c r="R155" s="454"/>
      <c r="S155" s="448"/>
      <c r="T155" s="124"/>
      <c r="U155" s="124"/>
      <c r="V155" s="124"/>
      <c r="W155" s="124">
        <f>10871.7336/1.12+1677.62448/1.12+7236.25056/1.12</f>
        <v>17665.722000000002</v>
      </c>
      <c r="X155" s="123">
        <f>W155*1.12</f>
        <v>19785.608640000002</v>
      </c>
      <c r="Y155" s="124"/>
      <c r="Z155" s="124">
        <f t="shared" si="88"/>
        <v>17665.722000000002</v>
      </c>
      <c r="AA155" s="124">
        <f t="shared" si="88"/>
        <v>19785.608640000002</v>
      </c>
      <c r="AB155" s="124"/>
      <c r="AC155" s="124"/>
      <c r="AD155" s="124">
        <f>AC155*1.12</f>
        <v>0</v>
      </c>
      <c r="AE155" s="124"/>
      <c r="AF155" s="124"/>
      <c r="AG155" s="123">
        <f>AF155*1.12</f>
        <v>0</v>
      </c>
      <c r="AH155" s="124"/>
      <c r="AI155" s="123"/>
      <c r="AJ155" s="123">
        <f>AI155*1.12</f>
        <v>0</v>
      </c>
      <c r="AK155" s="123"/>
      <c r="AL155" s="126" t="str">
        <f t="shared" si="90"/>
        <v/>
      </c>
      <c r="AM155" s="127">
        <f>AF155</f>
        <v>0</v>
      </c>
      <c r="AN155" s="127"/>
      <c r="AO155" s="127"/>
      <c r="AP155" s="123"/>
      <c r="AQ155" s="123">
        <f t="shared" si="89"/>
        <v>0</v>
      </c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3"/>
      <c r="BE155" s="123"/>
      <c r="BF155" s="123"/>
      <c r="BG155" s="232"/>
      <c r="BH155" s="232"/>
      <c r="BI155" s="106"/>
      <c r="BJ155" s="106"/>
      <c r="BK155" s="106"/>
      <c r="BL155" s="232"/>
      <c r="BM155" s="232"/>
      <c r="BN155" s="106"/>
      <c r="BQ155" s="29"/>
      <c r="BR155" s="107"/>
      <c r="BS155" s="106"/>
    </row>
    <row r="156" spans="1:71" x14ac:dyDescent="0.35">
      <c r="A156" s="499"/>
      <c r="B156" s="513"/>
      <c r="C156" s="129" t="s">
        <v>74</v>
      </c>
      <c r="D156" s="129" t="s">
        <v>76</v>
      </c>
      <c r="E156" s="187"/>
      <c r="F156" s="187"/>
      <c r="G156" s="494"/>
      <c r="H156" s="497"/>
      <c r="I156" s="191"/>
      <c r="J156" s="191"/>
      <c r="K156" s="463"/>
      <c r="L156" s="502"/>
      <c r="M156" s="459"/>
      <c r="N156" s="132">
        <f t="shared" si="86"/>
        <v>19560981.821428571</v>
      </c>
      <c r="O156" s="132">
        <f t="shared" si="86"/>
        <v>21908299.640000001</v>
      </c>
      <c r="P156" s="132">
        <f t="shared" si="87"/>
        <v>19560981.821428571</v>
      </c>
      <c r="Q156" s="132">
        <f>Q155</f>
        <v>21908299.640000001</v>
      </c>
      <c r="R156" s="454"/>
      <c r="S156" s="448"/>
      <c r="T156" s="131"/>
      <c r="U156" s="131"/>
      <c r="V156" s="131"/>
      <c r="W156" s="131">
        <f>W155</f>
        <v>17665.722000000002</v>
      </c>
      <c r="X156" s="130">
        <f>X155</f>
        <v>19785.608640000002</v>
      </c>
      <c r="Y156" s="131"/>
      <c r="Z156" s="131">
        <f t="shared" si="88"/>
        <v>17665.722000000002</v>
      </c>
      <c r="AA156" s="131">
        <f t="shared" si="88"/>
        <v>19785.608640000002</v>
      </c>
      <c r="AB156" s="131"/>
      <c r="AC156" s="131">
        <f>AC155</f>
        <v>0</v>
      </c>
      <c r="AD156" s="131">
        <f>AD155</f>
        <v>0</v>
      </c>
      <c r="AE156" s="131"/>
      <c r="AF156" s="131">
        <f>AF155</f>
        <v>0</v>
      </c>
      <c r="AG156" s="130">
        <f>AG155</f>
        <v>0</v>
      </c>
      <c r="AH156" s="131"/>
      <c r="AI156" s="130">
        <f>AI155</f>
        <v>0</v>
      </c>
      <c r="AJ156" s="130">
        <f>AJ155</f>
        <v>0</v>
      </c>
      <c r="AK156" s="130"/>
      <c r="AL156" s="133" t="str">
        <f t="shared" si="90"/>
        <v/>
      </c>
      <c r="AM156" s="134">
        <f>AF156</f>
        <v>0</v>
      </c>
      <c r="AN156" s="134"/>
      <c r="AO156" s="134"/>
      <c r="AP156" s="130">
        <f>AP155</f>
        <v>0</v>
      </c>
      <c r="AQ156" s="130">
        <f t="shared" si="89"/>
        <v>0</v>
      </c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233"/>
      <c r="BH156" s="233"/>
      <c r="BI156" s="31"/>
      <c r="BJ156" s="31"/>
      <c r="BK156" s="31"/>
      <c r="BL156" s="233"/>
      <c r="BM156" s="233"/>
      <c r="BN156" s="31"/>
      <c r="BQ156" s="27"/>
      <c r="BR156" s="28"/>
      <c r="BS156" s="31"/>
    </row>
    <row r="157" spans="1:71" s="227" customFormat="1" x14ac:dyDescent="0.35">
      <c r="A157" s="499"/>
      <c r="B157" s="513"/>
      <c r="C157" s="217" t="s">
        <v>72</v>
      </c>
      <c r="D157" s="217" t="s">
        <v>73</v>
      </c>
      <c r="E157" s="218"/>
      <c r="F157" s="218"/>
      <c r="G157" s="494"/>
      <c r="H157" s="497"/>
      <c r="I157" s="219"/>
      <c r="J157" s="219"/>
      <c r="K157" s="463" t="s">
        <v>133</v>
      </c>
      <c r="L157" s="501" t="s">
        <v>134</v>
      </c>
      <c r="M157" s="459" t="s">
        <v>113</v>
      </c>
      <c r="N157" s="220">
        <f t="shared" si="86"/>
        <v>80200025.401785716</v>
      </c>
      <c r="O157" s="220">
        <f t="shared" si="86"/>
        <v>89824028.450000003</v>
      </c>
      <c r="P157" s="220">
        <f t="shared" si="87"/>
        <v>80200025.401785716</v>
      </c>
      <c r="Q157" s="220">
        <f>65724898.86+24099129.59</f>
        <v>89824028.450000003</v>
      </c>
      <c r="R157" s="454" t="s">
        <v>128</v>
      </c>
      <c r="S157" s="448">
        <f>30+11</f>
        <v>41</v>
      </c>
      <c r="T157" s="221"/>
      <c r="U157" s="221"/>
      <c r="V157" s="221"/>
      <c r="W157" s="221">
        <f>15832+53287</f>
        <v>69119</v>
      </c>
      <c r="X157" s="222">
        <f>W157*1.12</f>
        <v>77413.280000000013</v>
      </c>
      <c r="Y157" s="219">
        <f>9+4+3+5+2+3+3+12</f>
        <v>41</v>
      </c>
      <c r="Z157" s="221">
        <f t="shared" si="88"/>
        <v>69119</v>
      </c>
      <c r="AA157" s="221">
        <f t="shared" si="88"/>
        <v>77413.280000000013</v>
      </c>
      <c r="AB157" s="221">
        <f t="shared" si="88"/>
        <v>41</v>
      </c>
      <c r="AC157" s="221"/>
      <c r="AD157" s="221"/>
      <c r="AE157" s="221"/>
      <c r="AF157" s="221"/>
      <c r="AG157" s="222">
        <f>AF157*1.12</f>
        <v>0</v>
      </c>
      <c r="AH157" s="219"/>
      <c r="AI157" s="222"/>
      <c r="AJ157" s="222">
        <f>AI157*1.12</f>
        <v>0</v>
      </c>
      <c r="AK157" s="222">
        <f>AH157-AE157</f>
        <v>0</v>
      </c>
      <c r="AL157" s="223" t="str">
        <f t="shared" si="90"/>
        <v/>
      </c>
      <c r="AM157" s="224"/>
      <c r="AN157" s="224"/>
      <c r="AO157" s="224"/>
      <c r="AP157" s="222"/>
      <c r="AQ157" s="222">
        <f t="shared" si="89"/>
        <v>0</v>
      </c>
      <c r="AR157" s="222">
        <f>H148-AR148-AR151-AR154</f>
        <v>-125</v>
      </c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5"/>
      <c r="BF157" s="225"/>
      <c r="BG157" s="231"/>
      <c r="BH157" s="231"/>
      <c r="BI157" s="226"/>
      <c r="BJ157" s="226"/>
      <c r="BK157" s="226"/>
      <c r="BL157" s="231"/>
      <c r="BM157" s="231"/>
      <c r="BN157" s="226"/>
      <c r="BQ157" s="228"/>
      <c r="BR157" s="229"/>
      <c r="BS157" s="226"/>
    </row>
    <row r="158" spans="1:71" s="103" customFormat="1" x14ac:dyDescent="0.35">
      <c r="A158" s="499"/>
      <c r="B158" s="513"/>
      <c r="C158" s="122" t="s">
        <v>74</v>
      </c>
      <c r="D158" s="122" t="s">
        <v>75</v>
      </c>
      <c r="E158" s="185"/>
      <c r="F158" s="185"/>
      <c r="G158" s="494"/>
      <c r="H158" s="497"/>
      <c r="I158" s="189"/>
      <c r="J158" s="189"/>
      <c r="K158" s="463"/>
      <c r="L158" s="501"/>
      <c r="M158" s="459"/>
      <c r="N158" s="125">
        <f t="shared" si="86"/>
        <v>80200025.401785716</v>
      </c>
      <c r="O158" s="125">
        <f t="shared" si="86"/>
        <v>89824028.450000003</v>
      </c>
      <c r="P158" s="125">
        <f t="shared" si="87"/>
        <v>80200025.401785716</v>
      </c>
      <c r="Q158" s="125">
        <f>Q157</f>
        <v>89824028.450000003</v>
      </c>
      <c r="R158" s="454"/>
      <c r="S158" s="448"/>
      <c r="T158" s="124"/>
      <c r="U158" s="124"/>
      <c r="V158" s="124"/>
      <c r="W158" s="124">
        <f>20774.61728/1.12+3770.84484/1.12+4864.01989/1.12+2055.66932/1.12+3691.17998/1.12</f>
        <v>31389.581526785711</v>
      </c>
      <c r="X158" s="123">
        <f>W158*1.12</f>
        <v>35156.331310000001</v>
      </c>
      <c r="Y158" s="124"/>
      <c r="Z158" s="124">
        <f t="shared" si="88"/>
        <v>31389.581526785711</v>
      </c>
      <c r="AA158" s="124">
        <f t="shared" si="88"/>
        <v>35156.331310000001</v>
      </c>
      <c r="AB158" s="124"/>
      <c r="AC158" s="124"/>
      <c r="AD158" s="124">
        <f>AC158*1.12</f>
        <v>0</v>
      </c>
      <c r="AE158" s="124"/>
      <c r="AF158" s="124">
        <f>2982.31648/1.12+18503.84955/1.12</f>
        <v>19184.0768125</v>
      </c>
      <c r="AG158" s="123">
        <f>AF158*1.12</f>
        <v>21486.16603</v>
      </c>
      <c r="AH158" s="124"/>
      <c r="AI158" s="182">
        <f>AF158-AC149</f>
        <v>0.14824107143067522</v>
      </c>
      <c r="AJ158" s="123">
        <f>AI158*1.12</f>
        <v>0.16603000000235626</v>
      </c>
      <c r="AK158" s="123"/>
      <c r="AL158" s="126" t="str">
        <f t="shared" si="90"/>
        <v/>
      </c>
      <c r="AM158" s="127">
        <f>AF158</f>
        <v>19184.0768125</v>
      </c>
      <c r="AN158" s="127"/>
      <c r="AO158" s="127"/>
      <c r="AP158" s="123"/>
      <c r="AQ158" s="123">
        <f t="shared" si="89"/>
        <v>0</v>
      </c>
      <c r="AR158" s="123"/>
      <c r="AS158" s="123"/>
      <c r="AT158" s="123"/>
      <c r="AU158" s="123"/>
      <c r="AV158" s="123"/>
      <c r="AW158" s="123"/>
      <c r="AX158" s="123"/>
      <c r="AY158" s="123"/>
      <c r="AZ158" s="123"/>
      <c r="BA158" s="123"/>
      <c r="BB158" s="123"/>
      <c r="BC158" s="123"/>
      <c r="BD158" s="123"/>
      <c r="BE158" s="123"/>
      <c r="BF158" s="123"/>
      <c r="BG158" s="232"/>
      <c r="BH158" s="232"/>
      <c r="BI158" s="106"/>
      <c r="BJ158" s="106"/>
      <c r="BK158" s="106"/>
      <c r="BL158" s="232"/>
      <c r="BM158" s="232"/>
      <c r="BN158" s="106"/>
      <c r="BQ158" s="29"/>
      <c r="BR158" s="107"/>
      <c r="BS158" s="106"/>
    </row>
    <row r="159" spans="1:71" x14ac:dyDescent="0.35">
      <c r="A159" s="499"/>
      <c r="B159" s="513"/>
      <c r="C159" s="129" t="s">
        <v>74</v>
      </c>
      <c r="D159" s="129" t="s">
        <v>76</v>
      </c>
      <c r="E159" s="187"/>
      <c r="F159" s="187"/>
      <c r="G159" s="494"/>
      <c r="H159" s="497"/>
      <c r="I159" s="191"/>
      <c r="J159" s="191"/>
      <c r="K159" s="463"/>
      <c r="L159" s="501"/>
      <c r="M159" s="459"/>
      <c r="N159" s="132">
        <f t="shared" si="86"/>
        <v>80200025.401785716</v>
      </c>
      <c r="O159" s="132">
        <f t="shared" si="86"/>
        <v>89824028.450000003</v>
      </c>
      <c r="P159" s="132">
        <f t="shared" si="87"/>
        <v>80200025.401785716</v>
      </c>
      <c r="Q159" s="132">
        <f>Q158</f>
        <v>89824028.450000003</v>
      </c>
      <c r="R159" s="454"/>
      <c r="S159" s="448"/>
      <c r="T159" s="131"/>
      <c r="U159" s="131"/>
      <c r="V159" s="131"/>
      <c r="W159" s="131">
        <f>W158</f>
        <v>31389.581526785711</v>
      </c>
      <c r="X159" s="130">
        <f>W159*1.12</f>
        <v>35156.331310000001</v>
      </c>
      <c r="Y159" s="131"/>
      <c r="Z159" s="131">
        <f t="shared" si="88"/>
        <v>31389.581526785711</v>
      </c>
      <c r="AA159" s="131">
        <f t="shared" si="88"/>
        <v>35156.331310000001</v>
      </c>
      <c r="AB159" s="131"/>
      <c r="AC159" s="131">
        <f>AC158</f>
        <v>0</v>
      </c>
      <c r="AD159" s="131">
        <f>AD158</f>
        <v>0</v>
      </c>
      <c r="AE159" s="131"/>
      <c r="AF159" s="131">
        <f>AF158</f>
        <v>19184.0768125</v>
      </c>
      <c r="AG159" s="130">
        <f>AF159*1.12</f>
        <v>21486.16603</v>
      </c>
      <c r="AH159" s="131"/>
      <c r="AI159" s="130">
        <f>AI158</f>
        <v>0.14824107143067522</v>
      </c>
      <c r="AJ159" s="130">
        <f>AJ158</f>
        <v>0.16603000000235626</v>
      </c>
      <c r="AK159" s="130"/>
      <c r="AL159" s="133" t="str">
        <f t="shared" si="90"/>
        <v/>
      </c>
      <c r="AM159" s="134">
        <f>AF159</f>
        <v>19184.0768125</v>
      </c>
      <c r="AN159" s="134"/>
      <c r="AO159" s="134"/>
      <c r="AP159" s="130">
        <f>AP158</f>
        <v>0</v>
      </c>
      <c r="AQ159" s="130">
        <f t="shared" si="89"/>
        <v>0</v>
      </c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233"/>
      <c r="BH159" s="233"/>
      <c r="BI159" s="31"/>
      <c r="BJ159" s="31"/>
      <c r="BK159" s="31"/>
      <c r="BL159" s="233"/>
      <c r="BM159" s="233"/>
      <c r="BN159" s="31"/>
      <c r="BQ159" s="27"/>
      <c r="BR159" s="28"/>
      <c r="BS159" s="31"/>
    </row>
    <row r="160" spans="1:71" s="227" customFormat="1" x14ac:dyDescent="0.35">
      <c r="A160" s="499"/>
      <c r="B160" s="513"/>
      <c r="C160" s="217" t="s">
        <v>72</v>
      </c>
      <c r="D160" s="217" t="s">
        <v>73</v>
      </c>
      <c r="E160" s="218"/>
      <c r="F160" s="218"/>
      <c r="G160" s="494"/>
      <c r="H160" s="497"/>
      <c r="I160" s="219"/>
      <c r="J160" s="234"/>
      <c r="K160" s="483" t="s">
        <v>135</v>
      </c>
      <c r="L160" s="480" t="s">
        <v>136</v>
      </c>
      <c r="M160" s="459" t="s">
        <v>113</v>
      </c>
      <c r="N160" s="220">
        <f t="shared" si="86"/>
        <v>19560981.821428571</v>
      </c>
      <c r="O160" s="220">
        <f t="shared" si="86"/>
        <v>21908299.640000001</v>
      </c>
      <c r="P160" s="235">
        <f t="shared" si="87"/>
        <v>19560981.821428571</v>
      </c>
      <c r="Q160" s="220">
        <v>21908299.640000001</v>
      </c>
      <c r="R160" s="454" t="s">
        <v>128</v>
      </c>
      <c r="S160" s="448">
        <v>10</v>
      </c>
      <c r="T160" s="221"/>
      <c r="U160" s="221"/>
      <c r="V160" s="221"/>
      <c r="W160" s="221">
        <f>5617+4844+3994+8975-5205+1</f>
        <v>18226</v>
      </c>
      <c r="X160" s="222">
        <f>W160*1.12</f>
        <v>20413.120000000003</v>
      </c>
      <c r="Y160" s="221">
        <f>5+2+2+1</f>
        <v>10</v>
      </c>
      <c r="Z160" s="221">
        <f t="shared" si="88"/>
        <v>18226</v>
      </c>
      <c r="AA160" s="221">
        <f t="shared" si="88"/>
        <v>20413.120000000003</v>
      </c>
      <c r="AB160" s="221">
        <f t="shared" si="88"/>
        <v>10</v>
      </c>
      <c r="AC160" s="221"/>
      <c r="AD160" s="221"/>
      <c r="AE160" s="221"/>
      <c r="AF160" s="221"/>
      <c r="AG160" s="222">
        <f>AF160*1.12</f>
        <v>0</v>
      </c>
      <c r="AH160" s="221"/>
      <c r="AI160" s="222"/>
      <c r="AJ160" s="222">
        <f>AI160*1.12</f>
        <v>0</v>
      </c>
      <c r="AK160" s="222">
        <f>AH160-AE160</f>
        <v>0</v>
      </c>
      <c r="AL160" s="223" t="str">
        <f t="shared" si="90"/>
        <v/>
      </c>
      <c r="AM160" s="224"/>
      <c r="AN160" s="224"/>
      <c r="AO160" s="224"/>
      <c r="AP160" s="222"/>
      <c r="AQ160" s="222">
        <f t="shared" si="89"/>
        <v>0</v>
      </c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31"/>
      <c r="BH160" s="231"/>
      <c r="BI160" s="226"/>
      <c r="BJ160" s="226"/>
      <c r="BK160" s="226"/>
      <c r="BL160" s="231"/>
      <c r="BM160" s="231"/>
      <c r="BN160" s="226"/>
      <c r="BQ160" s="228"/>
      <c r="BR160" s="229"/>
      <c r="BS160" s="226"/>
    </row>
    <row r="161" spans="1:71" s="103" customFormat="1" x14ac:dyDescent="0.35">
      <c r="A161" s="499"/>
      <c r="B161" s="513"/>
      <c r="C161" s="122" t="s">
        <v>74</v>
      </c>
      <c r="D161" s="122" t="s">
        <v>75</v>
      </c>
      <c r="E161" s="185"/>
      <c r="F161" s="185"/>
      <c r="G161" s="494"/>
      <c r="H161" s="497"/>
      <c r="I161" s="189"/>
      <c r="J161" s="236"/>
      <c r="K161" s="484"/>
      <c r="L161" s="481"/>
      <c r="M161" s="459"/>
      <c r="N161" s="125">
        <f t="shared" si="86"/>
        <v>19560981.821428571</v>
      </c>
      <c r="O161" s="125">
        <f t="shared" si="86"/>
        <v>21908299.640000001</v>
      </c>
      <c r="P161" s="237">
        <f t="shared" si="87"/>
        <v>19560981.821428571</v>
      </c>
      <c r="Q161" s="125">
        <f>Q160</f>
        <v>21908299.640000001</v>
      </c>
      <c r="R161" s="454"/>
      <c r="S161" s="448"/>
      <c r="T161" s="124"/>
      <c r="U161" s="124"/>
      <c r="V161" s="124"/>
      <c r="W161" s="124">
        <f>6095.87031/1.12+5301.85824/1.12+5389.70018/1.12+2700.33249/1.12</f>
        <v>17399.786803571427</v>
      </c>
      <c r="X161" s="123">
        <f>W161*1.12</f>
        <v>19487.76122</v>
      </c>
      <c r="Y161" s="124"/>
      <c r="Z161" s="124">
        <f t="shared" si="88"/>
        <v>17399.786803571427</v>
      </c>
      <c r="AA161" s="124">
        <f t="shared" si="88"/>
        <v>19487.76122</v>
      </c>
      <c r="AB161" s="124"/>
      <c r="AC161" s="124"/>
      <c r="AD161" s="124">
        <f>AC161*1.12</f>
        <v>0</v>
      </c>
      <c r="AE161" s="124"/>
      <c r="AF161" s="124"/>
      <c r="AG161" s="123">
        <f>AF161*1.12</f>
        <v>0</v>
      </c>
      <c r="AH161" s="124"/>
      <c r="AI161" s="123"/>
      <c r="AJ161" s="123">
        <f>AI161*1.12</f>
        <v>0</v>
      </c>
      <c r="AK161" s="123"/>
      <c r="AL161" s="126" t="str">
        <f t="shared" si="90"/>
        <v/>
      </c>
      <c r="AM161" s="127">
        <f>AF161</f>
        <v>0</v>
      </c>
      <c r="AN161" s="127"/>
      <c r="AO161" s="127"/>
      <c r="AP161" s="123">
        <f>AF161</f>
        <v>0</v>
      </c>
      <c r="AQ161" s="123">
        <f t="shared" si="89"/>
        <v>0</v>
      </c>
      <c r="AR161" s="123"/>
      <c r="AS161" s="123"/>
      <c r="AT161" s="123"/>
      <c r="AU161" s="123"/>
      <c r="AV161" s="123"/>
      <c r="AW161" s="123"/>
      <c r="AX161" s="123"/>
      <c r="AY161" s="123"/>
      <c r="AZ161" s="123"/>
      <c r="BA161" s="123"/>
      <c r="BB161" s="123"/>
      <c r="BC161" s="123"/>
      <c r="BD161" s="123"/>
      <c r="BE161" s="123"/>
      <c r="BF161" s="123"/>
      <c r="BG161" s="232"/>
      <c r="BH161" s="232"/>
      <c r="BI161" s="106"/>
      <c r="BJ161" s="106"/>
      <c r="BK161" s="106"/>
      <c r="BL161" s="232"/>
      <c r="BM161" s="232"/>
      <c r="BN161" s="106"/>
      <c r="BQ161" s="29"/>
      <c r="BR161" s="107"/>
      <c r="BS161" s="106"/>
    </row>
    <row r="162" spans="1:71" x14ac:dyDescent="0.35">
      <c r="A162" s="499"/>
      <c r="B162" s="513"/>
      <c r="C162" s="129" t="s">
        <v>74</v>
      </c>
      <c r="D162" s="129" t="s">
        <v>76</v>
      </c>
      <c r="E162" s="187"/>
      <c r="F162" s="187"/>
      <c r="G162" s="494"/>
      <c r="H162" s="497"/>
      <c r="I162" s="191"/>
      <c r="J162" s="238"/>
      <c r="K162" s="485"/>
      <c r="L162" s="482"/>
      <c r="M162" s="459"/>
      <c r="N162" s="132">
        <f t="shared" si="86"/>
        <v>19560981.821428571</v>
      </c>
      <c r="O162" s="132">
        <f t="shared" si="86"/>
        <v>21908299.640000001</v>
      </c>
      <c r="P162" s="239">
        <f t="shared" si="87"/>
        <v>19560981.821428571</v>
      </c>
      <c r="Q162" s="132">
        <f>Q161</f>
        <v>21908299.640000001</v>
      </c>
      <c r="R162" s="454"/>
      <c r="S162" s="448"/>
      <c r="T162" s="131"/>
      <c r="U162" s="131"/>
      <c r="V162" s="131"/>
      <c r="W162" s="131">
        <f>W161</f>
        <v>17399.786803571427</v>
      </c>
      <c r="X162" s="130">
        <f>X161</f>
        <v>19487.76122</v>
      </c>
      <c r="Y162" s="131"/>
      <c r="Z162" s="131">
        <f t="shared" si="88"/>
        <v>17399.786803571427</v>
      </c>
      <c r="AA162" s="131">
        <f t="shared" si="88"/>
        <v>19487.76122</v>
      </c>
      <c r="AB162" s="131"/>
      <c r="AC162" s="131">
        <f>AC161</f>
        <v>0</v>
      </c>
      <c r="AD162" s="131">
        <f>AD161</f>
        <v>0</v>
      </c>
      <c r="AE162" s="131"/>
      <c r="AF162" s="131">
        <f>AF161</f>
        <v>0</v>
      </c>
      <c r="AG162" s="130">
        <f>AG161</f>
        <v>0</v>
      </c>
      <c r="AH162" s="131"/>
      <c r="AI162" s="130">
        <f>AI161</f>
        <v>0</v>
      </c>
      <c r="AJ162" s="130">
        <f>AJ161</f>
        <v>0</v>
      </c>
      <c r="AK162" s="130"/>
      <c r="AL162" s="133" t="str">
        <f t="shared" si="90"/>
        <v/>
      </c>
      <c r="AM162" s="134">
        <f>AF162</f>
        <v>0</v>
      </c>
      <c r="AN162" s="134"/>
      <c r="AO162" s="134"/>
      <c r="AP162" s="130">
        <f>AF162</f>
        <v>0</v>
      </c>
      <c r="AQ162" s="130">
        <f t="shared" si="89"/>
        <v>0</v>
      </c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233"/>
      <c r="BH162" s="233"/>
      <c r="BI162" s="31"/>
      <c r="BJ162" s="31"/>
      <c r="BK162" s="31"/>
      <c r="BL162" s="233"/>
      <c r="BM162" s="233"/>
      <c r="BN162" s="31"/>
      <c r="BQ162" s="27"/>
      <c r="BR162" s="28"/>
      <c r="BS162" s="31"/>
    </row>
    <row r="163" spans="1:71" s="227" customFormat="1" x14ac:dyDescent="0.35">
      <c r="A163" s="499"/>
      <c r="B163" s="513"/>
      <c r="C163" s="217" t="s">
        <v>72</v>
      </c>
      <c r="D163" s="217" t="s">
        <v>73</v>
      </c>
      <c r="E163" s="218"/>
      <c r="F163" s="218"/>
      <c r="G163" s="494"/>
      <c r="H163" s="497"/>
      <c r="I163" s="219"/>
      <c r="J163" s="234"/>
      <c r="K163" s="463" t="s">
        <v>137</v>
      </c>
      <c r="L163" s="507" t="s">
        <v>138</v>
      </c>
      <c r="M163" s="467" t="s">
        <v>113</v>
      </c>
      <c r="N163" s="220">
        <f t="shared" si="86"/>
        <v>39121963</v>
      </c>
      <c r="O163" s="220">
        <f t="shared" si="86"/>
        <v>43816598.560000002</v>
      </c>
      <c r="P163" s="235">
        <f t="shared" si="87"/>
        <v>39121963</v>
      </c>
      <c r="Q163" s="220">
        <v>43816598.560000002</v>
      </c>
      <c r="R163" s="454" t="s">
        <v>128</v>
      </c>
      <c r="S163" s="448">
        <v>20</v>
      </c>
      <c r="T163" s="221"/>
      <c r="U163" s="221"/>
      <c r="V163" s="221"/>
      <c r="W163" s="221">
        <f>5294+3920+6724+3667+1314+8+1+6980+3478+547</f>
        <v>31933</v>
      </c>
      <c r="X163" s="222">
        <f>W163*1.12</f>
        <v>35764.960000000006</v>
      </c>
      <c r="Y163" s="221">
        <f>4+3+3+4+1+5</f>
        <v>20</v>
      </c>
      <c r="Z163" s="221">
        <f t="shared" si="88"/>
        <v>31933</v>
      </c>
      <c r="AA163" s="221">
        <f t="shared" si="88"/>
        <v>35764.960000000006</v>
      </c>
      <c r="AB163" s="221">
        <f t="shared" si="88"/>
        <v>20</v>
      </c>
      <c r="AC163" s="221"/>
      <c r="AD163" s="221"/>
      <c r="AE163" s="221"/>
      <c r="AF163" s="221"/>
      <c r="AG163" s="222">
        <f t="shared" ref="AG163:AG174" si="91">AF163*1.12</f>
        <v>0</v>
      </c>
      <c r="AH163" s="221"/>
      <c r="AI163" s="222"/>
      <c r="AJ163" s="222">
        <f>AI163*1.12</f>
        <v>0</v>
      </c>
      <c r="AK163" s="222">
        <f>AH163-AE163</f>
        <v>0</v>
      </c>
      <c r="AL163" s="223" t="str">
        <f t="shared" si="90"/>
        <v/>
      </c>
      <c r="AM163" s="224"/>
      <c r="AN163" s="224"/>
      <c r="AO163" s="224"/>
      <c r="AP163" s="222"/>
      <c r="AQ163" s="222">
        <f t="shared" si="89"/>
        <v>0</v>
      </c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31"/>
      <c r="BH163" s="231"/>
      <c r="BI163" s="226"/>
      <c r="BJ163" s="226"/>
      <c r="BK163" s="226"/>
      <c r="BL163" s="231"/>
      <c r="BM163" s="231"/>
      <c r="BN163" s="226"/>
      <c r="BQ163" s="228"/>
      <c r="BR163" s="229"/>
      <c r="BS163" s="226"/>
    </row>
    <row r="164" spans="1:71" s="103" customFormat="1" x14ac:dyDescent="0.35">
      <c r="A164" s="499"/>
      <c r="B164" s="513"/>
      <c r="C164" s="122" t="s">
        <v>74</v>
      </c>
      <c r="D164" s="122" t="s">
        <v>75</v>
      </c>
      <c r="E164" s="185"/>
      <c r="F164" s="185"/>
      <c r="G164" s="494"/>
      <c r="H164" s="497"/>
      <c r="I164" s="189"/>
      <c r="J164" s="236"/>
      <c r="K164" s="463"/>
      <c r="L164" s="508"/>
      <c r="M164" s="468"/>
      <c r="N164" s="125">
        <f t="shared" si="86"/>
        <v>39121963</v>
      </c>
      <c r="O164" s="125">
        <f t="shared" si="86"/>
        <v>43816598.560000002</v>
      </c>
      <c r="P164" s="237">
        <f t="shared" si="87"/>
        <v>39121963</v>
      </c>
      <c r="Q164" s="125">
        <f>Q163</f>
        <v>43816598.560000002</v>
      </c>
      <c r="R164" s="454"/>
      <c r="S164" s="448"/>
      <c r="T164" s="124"/>
      <c r="U164" s="124"/>
      <c r="V164" s="124"/>
      <c r="W164" s="124">
        <f>4590.59328/1.12+3493.33152/1.12+4023.40176/1.12+5842.18432/1.12+1341.10108/1.12+5722.6624/1.12</f>
        <v>22333.280678571427</v>
      </c>
      <c r="X164" s="123">
        <f>W164*1.12</f>
        <v>25013.274359999999</v>
      </c>
      <c r="Y164" s="124"/>
      <c r="Z164" s="124">
        <f t="shared" si="88"/>
        <v>22333.280678571427</v>
      </c>
      <c r="AA164" s="124">
        <f t="shared" si="88"/>
        <v>25013.274359999999</v>
      </c>
      <c r="AB164" s="124"/>
      <c r="AC164" s="124"/>
      <c r="AD164" s="124">
        <f>AC164*1.12</f>
        <v>0</v>
      </c>
      <c r="AE164" s="124"/>
      <c r="AF164" s="124"/>
      <c r="AG164" s="123">
        <f t="shared" si="91"/>
        <v>0</v>
      </c>
      <c r="AH164" s="124"/>
      <c r="AI164" s="123"/>
      <c r="AJ164" s="123">
        <f>AI164*1.12</f>
        <v>0</v>
      </c>
      <c r="AK164" s="123"/>
      <c r="AL164" s="126" t="str">
        <f t="shared" si="90"/>
        <v/>
      </c>
      <c r="AM164" s="127">
        <f>AF164</f>
        <v>0</v>
      </c>
      <c r="AN164" s="127"/>
      <c r="AO164" s="127"/>
      <c r="AP164" s="123">
        <f>AF164</f>
        <v>0</v>
      </c>
      <c r="AQ164" s="123">
        <f t="shared" si="89"/>
        <v>0</v>
      </c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23"/>
      <c r="BC164" s="123"/>
      <c r="BD164" s="123"/>
      <c r="BE164" s="123"/>
      <c r="BF164" s="123"/>
      <c r="BG164" s="232"/>
      <c r="BH164" s="232"/>
      <c r="BI164" s="106"/>
      <c r="BJ164" s="106"/>
      <c r="BK164" s="106"/>
      <c r="BL164" s="232"/>
      <c r="BM164" s="232"/>
      <c r="BN164" s="106"/>
      <c r="BP164" s="103">
        <v>32524934.399999999</v>
      </c>
      <c r="BQ164" s="29"/>
      <c r="BR164" s="107"/>
      <c r="BS164" s="106"/>
    </row>
    <row r="165" spans="1:71" x14ac:dyDescent="0.35">
      <c r="A165" s="499"/>
      <c r="B165" s="513"/>
      <c r="C165" s="129" t="s">
        <v>74</v>
      </c>
      <c r="D165" s="129" t="s">
        <v>76</v>
      </c>
      <c r="E165" s="187"/>
      <c r="F165" s="187"/>
      <c r="G165" s="494"/>
      <c r="H165" s="497"/>
      <c r="I165" s="191"/>
      <c r="J165" s="238"/>
      <c r="K165" s="463"/>
      <c r="L165" s="509"/>
      <c r="M165" s="469"/>
      <c r="N165" s="132">
        <f t="shared" si="86"/>
        <v>39121963</v>
      </c>
      <c r="O165" s="132">
        <f t="shared" si="86"/>
        <v>43816598.560000002</v>
      </c>
      <c r="P165" s="239">
        <f t="shared" si="87"/>
        <v>39121963</v>
      </c>
      <c r="Q165" s="132">
        <f>Q164</f>
        <v>43816598.560000002</v>
      </c>
      <c r="R165" s="454"/>
      <c r="S165" s="448"/>
      <c r="T165" s="131"/>
      <c r="U165" s="131"/>
      <c r="V165" s="131"/>
      <c r="W165" s="131">
        <f>W164</f>
        <v>22333.280678571427</v>
      </c>
      <c r="X165" s="130">
        <f>W165*1.12</f>
        <v>25013.274359999999</v>
      </c>
      <c r="Y165" s="131"/>
      <c r="Z165" s="131">
        <f t="shared" si="88"/>
        <v>22333.280678571427</v>
      </c>
      <c r="AA165" s="131">
        <f t="shared" si="88"/>
        <v>25013.274359999999</v>
      </c>
      <c r="AB165" s="131"/>
      <c r="AC165" s="131">
        <f>AC164</f>
        <v>0</v>
      </c>
      <c r="AD165" s="131">
        <f>AD164</f>
        <v>0</v>
      </c>
      <c r="AE165" s="131"/>
      <c r="AF165" s="131">
        <f>AF164</f>
        <v>0</v>
      </c>
      <c r="AG165" s="130">
        <f t="shared" si="91"/>
        <v>0</v>
      </c>
      <c r="AH165" s="131"/>
      <c r="AI165" s="130">
        <f>AI164</f>
        <v>0</v>
      </c>
      <c r="AJ165" s="130">
        <f>AJ164</f>
        <v>0</v>
      </c>
      <c r="AK165" s="130"/>
      <c r="AL165" s="133" t="str">
        <f t="shared" si="90"/>
        <v/>
      </c>
      <c r="AM165" s="134">
        <f>AF165</f>
        <v>0</v>
      </c>
      <c r="AN165" s="134"/>
      <c r="AO165" s="134"/>
      <c r="AP165" s="130">
        <f>AF165</f>
        <v>0</v>
      </c>
      <c r="AQ165" s="130">
        <f t="shared" si="89"/>
        <v>0</v>
      </c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233"/>
      <c r="BH165" s="233"/>
      <c r="BI165" s="31"/>
      <c r="BJ165" s="31"/>
      <c r="BK165" s="31"/>
      <c r="BL165" s="233"/>
      <c r="BM165" s="233"/>
      <c r="BN165" s="31"/>
      <c r="BQ165" s="27"/>
      <c r="BR165" s="28"/>
      <c r="BS165" s="31"/>
    </row>
    <row r="166" spans="1:71" s="227" customFormat="1" ht="16.5" hidden="1" customHeight="1" outlineLevel="1" x14ac:dyDescent="0.35">
      <c r="A166" s="499"/>
      <c r="B166" s="513"/>
      <c r="C166" s="217" t="s">
        <v>72</v>
      </c>
      <c r="D166" s="217" t="s">
        <v>73</v>
      </c>
      <c r="E166" s="218"/>
      <c r="F166" s="218"/>
      <c r="G166" s="494"/>
      <c r="H166" s="497"/>
      <c r="I166" s="219"/>
      <c r="J166" s="234"/>
      <c r="K166" s="442"/>
      <c r="L166" s="454"/>
      <c r="M166" s="459" t="s">
        <v>113</v>
      </c>
      <c r="N166" s="220">
        <f t="shared" si="86"/>
        <v>0</v>
      </c>
      <c r="O166" s="220">
        <f t="shared" si="86"/>
        <v>0</v>
      </c>
      <c r="P166" s="220">
        <f t="shared" si="87"/>
        <v>0</v>
      </c>
      <c r="Q166" s="220"/>
      <c r="R166" s="454"/>
      <c r="S166" s="448"/>
      <c r="T166" s="221"/>
      <c r="U166" s="221"/>
      <c r="V166" s="221"/>
      <c r="W166" s="221"/>
      <c r="X166" s="222">
        <f>W166*1.12</f>
        <v>0</v>
      </c>
      <c r="Y166" s="221"/>
      <c r="Z166" s="221">
        <f t="shared" si="88"/>
        <v>0</v>
      </c>
      <c r="AA166" s="221">
        <f t="shared" si="88"/>
        <v>0</v>
      </c>
      <c r="AB166" s="221">
        <f t="shared" si="88"/>
        <v>0</v>
      </c>
      <c r="AC166" s="221"/>
      <c r="AD166" s="221"/>
      <c r="AE166" s="221"/>
      <c r="AF166" s="221"/>
      <c r="AG166" s="222">
        <f t="shared" si="91"/>
        <v>0</v>
      </c>
      <c r="AH166" s="221"/>
      <c r="AI166" s="222">
        <f>AF166-AC166</f>
        <v>0</v>
      </c>
      <c r="AJ166" s="222">
        <f>AI166*1.12</f>
        <v>0</v>
      </c>
      <c r="AK166" s="222">
        <f>AH166-AE166</f>
        <v>0</v>
      </c>
      <c r="AL166" s="223" t="str">
        <f t="shared" si="90"/>
        <v/>
      </c>
      <c r="AM166" s="224"/>
      <c r="AN166" s="224"/>
      <c r="AO166" s="224"/>
      <c r="AP166" s="222"/>
      <c r="AQ166" s="222">
        <f t="shared" si="89"/>
        <v>0</v>
      </c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31"/>
      <c r="BH166" s="231"/>
      <c r="BI166" s="226"/>
      <c r="BJ166" s="226"/>
      <c r="BK166" s="226"/>
      <c r="BL166" s="231"/>
      <c r="BM166" s="231"/>
      <c r="BN166" s="226"/>
      <c r="BQ166" s="228"/>
      <c r="BR166" s="229"/>
      <c r="BS166" s="226"/>
    </row>
    <row r="167" spans="1:71" s="103" customFormat="1" ht="16.5" hidden="1" customHeight="1" outlineLevel="1" x14ac:dyDescent="0.35">
      <c r="A167" s="499"/>
      <c r="B167" s="513"/>
      <c r="C167" s="122" t="s">
        <v>74</v>
      </c>
      <c r="D167" s="122" t="s">
        <v>75</v>
      </c>
      <c r="E167" s="185"/>
      <c r="F167" s="185"/>
      <c r="G167" s="494"/>
      <c r="H167" s="497"/>
      <c r="I167" s="189"/>
      <c r="J167" s="236"/>
      <c r="K167" s="503"/>
      <c r="L167" s="454"/>
      <c r="M167" s="459"/>
      <c r="N167" s="125">
        <f t="shared" si="86"/>
        <v>0</v>
      </c>
      <c r="O167" s="125">
        <f t="shared" si="86"/>
        <v>0</v>
      </c>
      <c r="P167" s="125">
        <f t="shared" si="87"/>
        <v>0</v>
      </c>
      <c r="Q167" s="125">
        <f>Q166</f>
        <v>0</v>
      </c>
      <c r="R167" s="454"/>
      <c r="S167" s="448"/>
      <c r="T167" s="124"/>
      <c r="U167" s="124"/>
      <c r="V167" s="124"/>
      <c r="W167" s="124">
        <f>W168</f>
        <v>0</v>
      </c>
      <c r="X167" s="123">
        <f>X168</f>
        <v>0</v>
      </c>
      <c r="Y167" s="124"/>
      <c r="Z167" s="124">
        <f t="shared" si="88"/>
        <v>0</v>
      </c>
      <c r="AA167" s="124">
        <f t="shared" si="88"/>
        <v>0</v>
      </c>
      <c r="AB167" s="124"/>
      <c r="AC167" s="124"/>
      <c r="AD167" s="124"/>
      <c r="AE167" s="124"/>
      <c r="AF167" s="124"/>
      <c r="AG167" s="123">
        <f t="shared" si="91"/>
        <v>0</v>
      </c>
      <c r="AH167" s="124"/>
      <c r="AI167" s="123">
        <f>AF167-AC167</f>
        <v>0</v>
      </c>
      <c r="AJ167" s="123">
        <f>AI167*1.12</f>
        <v>0</v>
      </c>
      <c r="AK167" s="123"/>
      <c r="AL167" s="126" t="str">
        <f t="shared" si="90"/>
        <v/>
      </c>
      <c r="AM167" s="127"/>
      <c r="AN167" s="127">
        <f>AF167</f>
        <v>0</v>
      </c>
      <c r="AO167" s="127"/>
      <c r="AP167" s="123"/>
      <c r="AQ167" s="123">
        <f t="shared" si="89"/>
        <v>0</v>
      </c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123"/>
      <c r="BD167" s="123"/>
      <c r="BE167" s="123"/>
      <c r="BF167" s="123"/>
      <c r="BG167" s="232"/>
      <c r="BH167" s="232"/>
      <c r="BI167" s="106"/>
      <c r="BJ167" s="106"/>
      <c r="BK167" s="106"/>
      <c r="BL167" s="232"/>
      <c r="BM167" s="232"/>
      <c r="BN167" s="106"/>
      <c r="BQ167" s="29"/>
      <c r="BR167" s="107"/>
      <c r="BS167" s="106"/>
    </row>
    <row r="168" spans="1:71" ht="16.5" hidden="1" customHeight="1" outlineLevel="1" x14ac:dyDescent="0.35">
      <c r="A168" s="499"/>
      <c r="B168" s="513"/>
      <c r="C168" s="129" t="s">
        <v>74</v>
      </c>
      <c r="D168" s="129" t="s">
        <v>76</v>
      </c>
      <c r="E168" s="187"/>
      <c r="F168" s="187"/>
      <c r="G168" s="494"/>
      <c r="H168" s="497"/>
      <c r="I168" s="191"/>
      <c r="J168" s="238"/>
      <c r="K168" s="443"/>
      <c r="L168" s="454"/>
      <c r="M168" s="459"/>
      <c r="N168" s="132">
        <f t="shared" si="86"/>
        <v>0</v>
      </c>
      <c r="O168" s="132">
        <f t="shared" si="86"/>
        <v>0</v>
      </c>
      <c r="P168" s="132">
        <f t="shared" si="87"/>
        <v>0</v>
      </c>
      <c r="Q168" s="132">
        <f>Q167</f>
        <v>0</v>
      </c>
      <c r="R168" s="454"/>
      <c r="S168" s="448"/>
      <c r="T168" s="131"/>
      <c r="U168" s="131"/>
      <c r="V168" s="131"/>
      <c r="W168" s="131"/>
      <c r="X168" s="187">
        <f>W168*1.12</f>
        <v>0</v>
      </c>
      <c r="Y168" s="131"/>
      <c r="Z168" s="131">
        <f t="shared" si="88"/>
        <v>0</v>
      </c>
      <c r="AA168" s="131">
        <f t="shared" si="88"/>
        <v>0</v>
      </c>
      <c r="AB168" s="131"/>
      <c r="AC168" s="131"/>
      <c r="AD168" s="131"/>
      <c r="AE168" s="131"/>
      <c r="AF168" s="131">
        <f>AF167</f>
        <v>0</v>
      </c>
      <c r="AG168" s="130">
        <f t="shared" si="91"/>
        <v>0</v>
      </c>
      <c r="AH168" s="131"/>
      <c r="AI168" s="130">
        <f>AI167</f>
        <v>0</v>
      </c>
      <c r="AJ168" s="130">
        <f>AJ167</f>
        <v>0</v>
      </c>
      <c r="AK168" s="130"/>
      <c r="AL168" s="133" t="str">
        <f t="shared" si="90"/>
        <v/>
      </c>
      <c r="AM168" s="134"/>
      <c r="AN168" s="134">
        <f>AF168</f>
        <v>0</v>
      </c>
      <c r="AO168" s="134"/>
      <c r="AP168" s="130">
        <f>AP167</f>
        <v>0</v>
      </c>
      <c r="AQ168" s="130">
        <f t="shared" si="89"/>
        <v>0</v>
      </c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233"/>
      <c r="BH168" s="233"/>
      <c r="BI168" s="31"/>
      <c r="BJ168" s="31"/>
      <c r="BK168" s="31"/>
      <c r="BL168" s="233"/>
      <c r="BM168" s="233"/>
      <c r="BN168" s="31"/>
      <c r="BQ168" s="27"/>
      <c r="BR168" s="28"/>
      <c r="BS168" s="31"/>
    </row>
    <row r="169" spans="1:71" s="227" customFormat="1" ht="16.5" hidden="1" customHeight="1" outlineLevel="1" x14ac:dyDescent="0.35">
      <c r="A169" s="499"/>
      <c r="B169" s="513"/>
      <c r="C169" s="217" t="s">
        <v>72</v>
      </c>
      <c r="D169" s="217" t="s">
        <v>73</v>
      </c>
      <c r="E169" s="218"/>
      <c r="F169" s="218"/>
      <c r="G169" s="494"/>
      <c r="H169" s="497"/>
      <c r="I169" s="219"/>
      <c r="J169" s="234"/>
      <c r="K169" s="476"/>
      <c r="L169" s="454"/>
      <c r="M169" s="459" t="s">
        <v>113</v>
      </c>
      <c r="N169" s="220">
        <f t="shared" si="86"/>
        <v>0</v>
      </c>
      <c r="O169" s="220">
        <f t="shared" si="86"/>
        <v>0</v>
      </c>
      <c r="P169" s="220">
        <f t="shared" si="87"/>
        <v>0</v>
      </c>
      <c r="Q169" s="220"/>
      <c r="R169" s="454"/>
      <c r="S169" s="448"/>
      <c r="T169" s="221"/>
      <c r="U169" s="221"/>
      <c r="V169" s="221"/>
      <c r="W169" s="219"/>
      <c r="X169" s="222">
        <f t="shared" ref="X169:X174" si="92">W169*1.12</f>
        <v>0</v>
      </c>
      <c r="Y169" s="221"/>
      <c r="Z169" s="221">
        <f t="shared" si="88"/>
        <v>0</v>
      </c>
      <c r="AA169" s="221">
        <f t="shared" si="88"/>
        <v>0</v>
      </c>
      <c r="AB169" s="221">
        <f t="shared" si="88"/>
        <v>0</v>
      </c>
      <c r="AC169" s="221"/>
      <c r="AD169" s="221"/>
      <c r="AE169" s="221"/>
      <c r="AF169" s="219"/>
      <c r="AG169" s="222">
        <f t="shared" si="91"/>
        <v>0</v>
      </c>
      <c r="AH169" s="221"/>
      <c r="AI169" s="222">
        <f>AF169-AC169</f>
        <v>0</v>
      </c>
      <c r="AJ169" s="222">
        <f>AI169*1.12</f>
        <v>0</v>
      </c>
      <c r="AK169" s="222">
        <f>AH169-AE169</f>
        <v>0</v>
      </c>
      <c r="AL169" s="223" t="str">
        <f t="shared" si="90"/>
        <v/>
      </c>
      <c r="AM169" s="224"/>
      <c r="AN169" s="224"/>
      <c r="AO169" s="224"/>
      <c r="AP169" s="222"/>
      <c r="AQ169" s="222">
        <f t="shared" si="89"/>
        <v>0</v>
      </c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31"/>
      <c r="BH169" s="231"/>
      <c r="BI169" s="226"/>
      <c r="BJ169" s="226"/>
      <c r="BK169" s="226"/>
      <c r="BL169" s="231"/>
      <c r="BM169" s="231"/>
      <c r="BN169" s="226"/>
      <c r="BQ169" s="228"/>
      <c r="BR169" s="229"/>
      <c r="BS169" s="226"/>
    </row>
    <row r="170" spans="1:71" s="103" customFormat="1" ht="16.5" hidden="1" customHeight="1" outlineLevel="1" x14ac:dyDescent="0.35">
      <c r="A170" s="499"/>
      <c r="B170" s="513"/>
      <c r="C170" s="122" t="s">
        <v>74</v>
      </c>
      <c r="D170" s="122" t="s">
        <v>75</v>
      </c>
      <c r="E170" s="185"/>
      <c r="F170" s="185"/>
      <c r="G170" s="494"/>
      <c r="H170" s="497"/>
      <c r="I170" s="189"/>
      <c r="J170" s="236"/>
      <c r="K170" s="476"/>
      <c r="L170" s="454"/>
      <c r="M170" s="459"/>
      <c r="N170" s="125">
        <f t="shared" si="86"/>
        <v>0</v>
      </c>
      <c r="O170" s="125">
        <f t="shared" si="86"/>
        <v>0</v>
      </c>
      <c r="P170" s="125">
        <f t="shared" si="87"/>
        <v>0</v>
      </c>
      <c r="Q170" s="125">
        <f>Q169</f>
        <v>0</v>
      </c>
      <c r="R170" s="454"/>
      <c r="S170" s="448"/>
      <c r="T170" s="124"/>
      <c r="U170" s="124"/>
      <c r="V170" s="124"/>
      <c r="W170" s="124"/>
      <c r="X170" s="123">
        <f t="shared" si="92"/>
        <v>0</v>
      </c>
      <c r="Y170" s="124"/>
      <c r="Z170" s="124">
        <f t="shared" si="88"/>
        <v>0</v>
      </c>
      <c r="AA170" s="124">
        <f t="shared" si="88"/>
        <v>0</v>
      </c>
      <c r="AB170" s="124">
        <f t="shared" si="88"/>
        <v>0</v>
      </c>
      <c r="AC170" s="124"/>
      <c r="AD170" s="124"/>
      <c r="AE170" s="124"/>
      <c r="AF170" s="124"/>
      <c r="AG170" s="123">
        <f t="shared" si="91"/>
        <v>0</v>
      </c>
      <c r="AH170" s="124"/>
      <c r="AI170" s="123">
        <f>AF170-AC170</f>
        <v>0</v>
      </c>
      <c r="AJ170" s="123">
        <f>AI170*1.12</f>
        <v>0</v>
      </c>
      <c r="AK170" s="123"/>
      <c r="AL170" s="126" t="str">
        <f t="shared" si="90"/>
        <v/>
      </c>
      <c r="AM170" s="127"/>
      <c r="AN170" s="127">
        <f>AF170</f>
        <v>0</v>
      </c>
      <c r="AO170" s="127"/>
      <c r="AP170" s="123"/>
      <c r="AQ170" s="123">
        <f t="shared" si="89"/>
        <v>0</v>
      </c>
      <c r="AR170" s="123"/>
      <c r="AS170" s="123"/>
      <c r="AT170" s="123"/>
      <c r="AU170" s="123"/>
      <c r="AV170" s="123"/>
      <c r="AW170" s="123"/>
      <c r="AX170" s="123"/>
      <c r="AY170" s="123"/>
      <c r="AZ170" s="123"/>
      <c r="BA170" s="123"/>
      <c r="BB170" s="123"/>
      <c r="BC170" s="123"/>
      <c r="BD170" s="123"/>
      <c r="BE170" s="123"/>
      <c r="BF170" s="123"/>
      <c r="BG170" s="232"/>
      <c r="BH170" s="232"/>
      <c r="BI170" s="106"/>
      <c r="BJ170" s="106"/>
      <c r="BK170" s="106"/>
      <c r="BL170" s="232"/>
      <c r="BM170" s="232"/>
      <c r="BN170" s="106"/>
      <c r="BQ170" s="29"/>
      <c r="BR170" s="107"/>
      <c r="BS170" s="106"/>
    </row>
    <row r="171" spans="1:71" ht="16.5" hidden="1" customHeight="1" outlineLevel="1" x14ac:dyDescent="0.35">
      <c r="A171" s="499"/>
      <c r="B171" s="513"/>
      <c r="C171" s="129" t="s">
        <v>74</v>
      </c>
      <c r="D171" s="129" t="s">
        <v>76</v>
      </c>
      <c r="E171" s="187"/>
      <c r="F171" s="184"/>
      <c r="G171" s="494"/>
      <c r="H171" s="497"/>
      <c r="I171" s="191"/>
      <c r="J171" s="238"/>
      <c r="K171" s="476"/>
      <c r="L171" s="454"/>
      <c r="M171" s="459"/>
      <c r="N171" s="132">
        <f t="shared" si="86"/>
        <v>0</v>
      </c>
      <c r="O171" s="132">
        <f t="shared" si="86"/>
        <v>0</v>
      </c>
      <c r="P171" s="132">
        <f t="shared" si="87"/>
        <v>0</v>
      </c>
      <c r="Q171" s="132">
        <f>Q170</f>
        <v>0</v>
      </c>
      <c r="R171" s="454"/>
      <c r="S171" s="448"/>
      <c r="T171" s="131"/>
      <c r="U171" s="131"/>
      <c r="V171" s="131"/>
      <c r="W171" s="131">
        <f>W170</f>
        <v>0</v>
      </c>
      <c r="X171" s="130">
        <f t="shared" si="92"/>
        <v>0</v>
      </c>
      <c r="Y171" s="131"/>
      <c r="Z171" s="131">
        <f t="shared" si="88"/>
        <v>0</v>
      </c>
      <c r="AA171" s="131">
        <f t="shared" si="88"/>
        <v>0</v>
      </c>
      <c r="AB171" s="131">
        <f t="shared" si="88"/>
        <v>0</v>
      </c>
      <c r="AC171" s="131"/>
      <c r="AD171" s="131"/>
      <c r="AE171" s="131"/>
      <c r="AF171" s="131">
        <f>AF170</f>
        <v>0</v>
      </c>
      <c r="AG171" s="130">
        <f t="shared" si="91"/>
        <v>0</v>
      </c>
      <c r="AH171" s="131"/>
      <c r="AI171" s="130">
        <f>AI170</f>
        <v>0</v>
      </c>
      <c r="AJ171" s="130">
        <f>AJ170</f>
        <v>0</v>
      </c>
      <c r="AK171" s="130"/>
      <c r="AL171" s="133" t="str">
        <f t="shared" si="90"/>
        <v/>
      </c>
      <c r="AM171" s="134"/>
      <c r="AN171" s="134">
        <f>AF171</f>
        <v>0</v>
      </c>
      <c r="AO171" s="134"/>
      <c r="AP171" s="130">
        <f>AP170</f>
        <v>0</v>
      </c>
      <c r="AQ171" s="130">
        <f t="shared" si="89"/>
        <v>0</v>
      </c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233"/>
      <c r="BH171" s="233"/>
      <c r="BI171" s="31"/>
      <c r="BJ171" s="31"/>
      <c r="BK171" s="31"/>
      <c r="BL171" s="233"/>
      <c r="BM171" s="233"/>
      <c r="BN171" s="31"/>
      <c r="BQ171" s="27"/>
      <c r="BR171" s="28"/>
      <c r="BS171" s="31"/>
    </row>
    <row r="172" spans="1:71" s="227" customFormat="1" ht="16.5" hidden="1" customHeight="1" outlineLevel="1" x14ac:dyDescent="0.35">
      <c r="A172" s="499"/>
      <c r="B172" s="513"/>
      <c r="C172" s="217" t="s">
        <v>72</v>
      </c>
      <c r="D172" s="217" t="s">
        <v>73</v>
      </c>
      <c r="E172" s="218"/>
      <c r="F172" s="218"/>
      <c r="G172" s="494"/>
      <c r="H172" s="497"/>
      <c r="I172" s="219"/>
      <c r="J172" s="234"/>
      <c r="K172" s="476"/>
      <c r="L172" s="454"/>
      <c r="M172" s="459" t="s">
        <v>113</v>
      </c>
      <c r="N172" s="220">
        <f t="shared" ref="N172:O174" si="93">P172</f>
        <v>0</v>
      </c>
      <c r="O172" s="220">
        <f t="shared" si="93"/>
        <v>0</v>
      </c>
      <c r="P172" s="220">
        <f t="shared" si="87"/>
        <v>0</v>
      </c>
      <c r="Q172" s="220"/>
      <c r="R172" s="454"/>
      <c r="S172" s="448"/>
      <c r="T172" s="221"/>
      <c r="U172" s="221"/>
      <c r="V172" s="221"/>
      <c r="W172" s="219"/>
      <c r="X172" s="222">
        <f t="shared" si="92"/>
        <v>0</v>
      </c>
      <c r="Y172" s="221"/>
      <c r="Z172" s="221">
        <f t="shared" ref="Z172:AB174" si="94">T172+W172</f>
        <v>0</v>
      </c>
      <c r="AA172" s="221">
        <f t="shared" si="94"/>
        <v>0</v>
      </c>
      <c r="AB172" s="221">
        <f t="shared" si="94"/>
        <v>0</v>
      </c>
      <c r="AC172" s="221"/>
      <c r="AD172" s="221"/>
      <c r="AE172" s="221"/>
      <c r="AF172" s="219"/>
      <c r="AG172" s="222">
        <f t="shared" si="91"/>
        <v>0</v>
      </c>
      <c r="AH172" s="221"/>
      <c r="AI172" s="222">
        <f>AF172-AC172</f>
        <v>0</v>
      </c>
      <c r="AJ172" s="222">
        <f>AI172*1.12</f>
        <v>0</v>
      </c>
      <c r="AK172" s="222">
        <f>AH172-AE172</f>
        <v>0</v>
      </c>
      <c r="AL172" s="223" t="str">
        <f t="shared" si="90"/>
        <v/>
      </c>
      <c r="AM172" s="224"/>
      <c r="AN172" s="224"/>
      <c r="AO172" s="224"/>
      <c r="AP172" s="222"/>
      <c r="AQ172" s="222">
        <f t="shared" si="89"/>
        <v>0</v>
      </c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31"/>
      <c r="BH172" s="231"/>
      <c r="BI172" s="226"/>
      <c r="BJ172" s="226"/>
      <c r="BK172" s="226"/>
      <c r="BL172" s="231"/>
      <c r="BM172" s="231"/>
      <c r="BN172" s="226"/>
      <c r="BQ172" s="228"/>
      <c r="BR172" s="229"/>
      <c r="BS172" s="226"/>
    </row>
    <row r="173" spans="1:71" s="103" customFormat="1" ht="16.5" hidden="1" customHeight="1" outlineLevel="1" x14ac:dyDescent="0.35">
      <c r="A173" s="499"/>
      <c r="B173" s="513"/>
      <c r="C173" s="122" t="s">
        <v>74</v>
      </c>
      <c r="D173" s="122" t="s">
        <v>75</v>
      </c>
      <c r="E173" s="185"/>
      <c r="F173" s="185"/>
      <c r="G173" s="494"/>
      <c r="H173" s="497"/>
      <c r="I173" s="189"/>
      <c r="J173" s="236"/>
      <c r="K173" s="476"/>
      <c r="L173" s="454"/>
      <c r="M173" s="459"/>
      <c r="N173" s="125">
        <f t="shared" si="93"/>
        <v>0</v>
      </c>
      <c r="O173" s="125">
        <f t="shared" si="93"/>
        <v>0</v>
      </c>
      <c r="P173" s="125">
        <f t="shared" si="87"/>
        <v>0</v>
      </c>
      <c r="Q173" s="125">
        <f>Q172</f>
        <v>0</v>
      </c>
      <c r="R173" s="454"/>
      <c r="S173" s="448"/>
      <c r="T173" s="124"/>
      <c r="U173" s="124"/>
      <c r="V173" s="124"/>
      <c r="W173" s="124"/>
      <c r="X173" s="123">
        <f t="shared" si="92"/>
        <v>0</v>
      </c>
      <c r="Y173" s="124"/>
      <c r="Z173" s="124">
        <f t="shared" si="94"/>
        <v>0</v>
      </c>
      <c r="AA173" s="124">
        <f t="shared" si="94"/>
        <v>0</v>
      </c>
      <c r="AB173" s="124">
        <f t="shared" si="94"/>
        <v>0</v>
      </c>
      <c r="AC173" s="124"/>
      <c r="AD173" s="124"/>
      <c r="AE173" s="124"/>
      <c r="AF173" s="124"/>
      <c r="AG173" s="123">
        <f t="shared" si="91"/>
        <v>0</v>
      </c>
      <c r="AH173" s="124"/>
      <c r="AI173" s="123">
        <f>AF173-AC173</f>
        <v>0</v>
      </c>
      <c r="AJ173" s="123">
        <f>AI173*1.12</f>
        <v>0</v>
      </c>
      <c r="AK173" s="123"/>
      <c r="AL173" s="126" t="str">
        <f t="shared" si="90"/>
        <v/>
      </c>
      <c r="AM173" s="127"/>
      <c r="AN173" s="127">
        <f>AF173</f>
        <v>0</v>
      </c>
      <c r="AO173" s="127"/>
      <c r="AP173" s="123"/>
      <c r="AQ173" s="123">
        <f t="shared" si="89"/>
        <v>0</v>
      </c>
      <c r="AR173" s="123"/>
      <c r="AS173" s="123"/>
      <c r="AT173" s="123"/>
      <c r="AU173" s="123"/>
      <c r="AV173" s="123"/>
      <c r="AW173" s="123"/>
      <c r="AX173" s="123"/>
      <c r="AY173" s="123"/>
      <c r="AZ173" s="123"/>
      <c r="BA173" s="123"/>
      <c r="BB173" s="123"/>
      <c r="BC173" s="123"/>
      <c r="BD173" s="123"/>
      <c r="BE173" s="123"/>
      <c r="BF173" s="123"/>
      <c r="BG173" s="232"/>
      <c r="BH173" s="232"/>
      <c r="BI173" s="106"/>
      <c r="BJ173" s="106"/>
      <c r="BK173" s="106"/>
      <c r="BL173" s="232"/>
      <c r="BM173" s="232"/>
      <c r="BN173" s="106"/>
      <c r="BQ173" s="29"/>
      <c r="BR173" s="107"/>
      <c r="BS173" s="106"/>
    </row>
    <row r="174" spans="1:71" ht="16.5" hidden="1" customHeight="1" outlineLevel="1" x14ac:dyDescent="0.35">
      <c r="A174" s="439"/>
      <c r="B174" s="514"/>
      <c r="C174" s="129" t="s">
        <v>74</v>
      </c>
      <c r="D174" s="129" t="s">
        <v>76</v>
      </c>
      <c r="E174" s="187"/>
      <c r="F174" s="184"/>
      <c r="G174" s="495"/>
      <c r="H174" s="498"/>
      <c r="I174" s="191"/>
      <c r="J174" s="238"/>
      <c r="K174" s="476"/>
      <c r="L174" s="454"/>
      <c r="M174" s="459"/>
      <c r="N174" s="132">
        <f t="shared" si="93"/>
        <v>0</v>
      </c>
      <c r="O174" s="132">
        <f t="shared" si="93"/>
        <v>0</v>
      </c>
      <c r="P174" s="132">
        <f t="shared" si="87"/>
        <v>0</v>
      </c>
      <c r="Q174" s="132">
        <f>Q173</f>
        <v>0</v>
      </c>
      <c r="R174" s="454"/>
      <c r="S174" s="448"/>
      <c r="T174" s="131"/>
      <c r="U174" s="131"/>
      <c r="V174" s="131"/>
      <c r="W174" s="131">
        <f>W173</f>
        <v>0</v>
      </c>
      <c r="X174" s="130">
        <f t="shared" si="92"/>
        <v>0</v>
      </c>
      <c r="Y174" s="131"/>
      <c r="Z174" s="131">
        <f t="shared" si="94"/>
        <v>0</v>
      </c>
      <c r="AA174" s="131">
        <f t="shared" si="94"/>
        <v>0</v>
      </c>
      <c r="AB174" s="131">
        <f t="shared" si="94"/>
        <v>0</v>
      </c>
      <c r="AC174" s="131"/>
      <c r="AD174" s="131"/>
      <c r="AE174" s="131"/>
      <c r="AF174" s="131">
        <f>AF173</f>
        <v>0</v>
      </c>
      <c r="AG174" s="130">
        <f t="shared" si="91"/>
        <v>0</v>
      </c>
      <c r="AH174" s="131"/>
      <c r="AI174" s="130">
        <f>AI173</f>
        <v>0</v>
      </c>
      <c r="AJ174" s="130">
        <f>AJ173</f>
        <v>0</v>
      </c>
      <c r="AK174" s="130"/>
      <c r="AL174" s="133" t="str">
        <f t="shared" si="90"/>
        <v/>
      </c>
      <c r="AM174" s="134"/>
      <c r="AN174" s="134">
        <f>AF174</f>
        <v>0</v>
      </c>
      <c r="AO174" s="134"/>
      <c r="AP174" s="130">
        <f>AP173</f>
        <v>0</v>
      </c>
      <c r="AQ174" s="130">
        <f t="shared" si="89"/>
        <v>0</v>
      </c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233"/>
      <c r="BH174" s="233"/>
      <c r="BI174" s="31"/>
      <c r="BJ174" s="31"/>
      <c r="BK174" s="31"/>
      <c r="BL174" s="233"/>
      <c r="BM174" s="233"/>
      <c r="BN174" s="31"/>
      <c r="BQ174" s="27"/>
      <c r="BR174" s="28"/>
      <c r="BS174" s="31"/>
    </row>
    <row r="175" spans="1:71" s="212" customFormat="1" ht="16.5" customHeight="1" collapsed="1" x14ac:dyDescent="0.35">
      <c r="A175" s="438"/>
      <c r="B175" s="436" t="s">
        <v>139</v>
      </c>
      <c r="C175" s="202"/>
      <c r="D175" s="202"/>
      <c r="E175" s="203">
        <f>E177+E180</f>
        <v>0</v>
      </c>
      <c r="F175" s="203">
        <f>F177+F180</f>
        <v>0</v>
      </c>
      <c r="G175" s="204"/>
      <c r="H175" s="203">
        <f>H177+H180</f>
        <v>0</v>
      </c>
      <c r="I175" s="203">
        <f>I177+I180</f>
        <v>0</v>
      </c>
      <c r="J175" s="203">
        <f>J177+J180</f>
        <v>0</v>
      </c>
      <c r="K175" s="486" t="s">
        <v>140</v>
      </c>
      <c r="L175" s="487"/>
      <c r="M175" s="500" t="s">
        <v>113</v>
      </c>
      <c r="N175" s="205">
        <f t="shared" ref="N175:Q176" si="95">N177+N180</f>
        <v>42060988.133928567</v>
      </c>
      <c r="O175" s="205">
        <f t="shared" si="95"/>
        <v>47108306.710000001</v>
      </c>
      <c r="P175" s="205">
        <f t="shared" si="95"/>
        <v>42060988.133928567</v>
      </c>
      <c r="Q175" s="205">
        <f t="shared" si="95"/>
        <v>47108306.710000001</v>
      </c>
      <c r="R175" s="206"/>
      <c r="S175" s="492">
        <f>S177+S180</f>
        <v>25</v>
      </c>
      <c r="T175" s="203">
        <f t="shared" ref="T175:AK176" si="96">T177+T180</f>
        <v>0</v>
      </c>
      <c r="U175" s="203">
        <f t="shared" si="96"/>
        <v>0</v>
      </c>
      <c r="V175" s="203">
        <f t="shared" si="96"/>
        <v>0</v>
      </c>
      <c r="W175" s="203">
        <f t="shared" si="96"/>
        <v>32363</v>
      </c>
      <c r="X175" s="203">
        <f t="shared" si="96"/>
        <v>36246.560000000005</v>
      </c>
      <c r="Y175" s="203">
        <f t="shared" si="96"/>
        <v>22</v>
      </c>
      <c r="Z175" s="203">
        <f t="shared" si="96"/>
        <v>32363</v>
      </c>
      <c r="AA175" s="203">
        <f t="shared" si="96"/>
        <v>36246.560000000005</v>
      </c>
      <c r="AB175" s="203">
        <f t="shared" si="96"/>
        <v>22</v>
      </c>
      <c r="AC175" s="203">
        <f t="shared" si="96"/>
        <v>0</v>
      </c>
      <c r="AD175" s="203">
        <f t="shared" si="96"/>
        <v>0</v>
      </c>
      <c r="AE175" s="203">
        <f t="shared" si="96"/>
        <v>0</v>
      </c>
      <c r="AF175" s="203">
        <f t="shared" si="96"/>
        <v>0</v>
      </c>
      <c r="AG175" s="203">
        <f t="shared" si="96"/>
        <v>0</v>
      </c>
      <c r="AH175" s="203">
        <f t="shared" si="96"/>
        <v>0</v>
      </c>
      <c r="AI175" s="203">
        <f t="shared" si="96"/>
        <v>0</v>
      </c>
      <c r="AJ175" s="203">
        <f t="shared" si="96"/>
        <v>0</v>
      </c>
      <c r="AK175" s="203">
        <f t="shared" si="96"/>
        <v>0</v>
      </c>
      <c r="AL175" s="208" t="str">
        <f t="shared" si="90"/>
        <v/>
      </c>
      <c r="AM175" s="203">
        <f t="shared" ref="AM175:BF176" si="97">AM177+AM180</f>
        <v>0</v>
      </c>
      <c r="AN175" s="203">
        <f t="shared" si="97"/>
        <v>0</v>
      </c>
      <c r="AO175" s="203">
        <f t="shared" si="97"/>
        <v>0</v>
      </c>
      <c r="AP175" s="203">
        <f t="shared" si="97"/>
        <v>0</v>
      </c>
      <c r="AQ175" s="203">
        <f t="shared" si="97"/>
        <v>0</v>
      </c>
      <c r="AR175" s="203">
        <f t="shared" si="97"/>
        <v>0</v>
      </c>
      <c r="AS175" s="203">
        <f t="shared" si="97"/>
        <v>0</v>
      </c>
      <c r="AT175" s="203">
        <f t="shared" si="97"/>
        <v>0</v>
      </c>
      <c r="AU175" s="203">
        <f t="shared" si="97"/>
        <v>0</v>
      </c>
      <c r="AV175" s="203">
        <f t="shared" si="97"/>
        <v>0</v>
      </c>
      <c r="AW175" s="203">
        <f t="shared" si="97"/>
        <v>0</v>
      </c>
      <c r="AX175" s="203">
        <f t="shared" si="97"/>
        <v>0</v>
      </c>
      <c r="AY175" s="203">
        <f t="shared" si="97"/>
        <v>0</v>
      </c>
      <c r="AZ175" s="203">
        <f t="shared" si="97"/>
        <v>0</v>
      </c>
      <c r="BA175" s="203">
        <f t="shared" si="97"/>
        <v>0</v>
      </c>
      <c r="BB175" s="203">
        <f t="shared" si="97"/>
        <v>0</v>
      </c>
      <c r="BC175" s="203">
        <f t="shared" si="97"/>
        <v>0</v>
      </c>
      <c r="BD175" s="203">
        <f t="shared" si="97"/>
        <v>0</v>
      </c>
      <c r="BE175" s="203">
        <f t="shared" si="97"/>
        <v>0</v>
      </c>
      <c r="BF175" s="203">
        <f t="shared" si="97"/>
        <v>0</v>
      </c>
      <c r="BG175" s="209" t="s">
        <v>84</v>
      </c>
      <c r="BH175" s="210"/>
      <c r="BI175" s="207">
        <f>BI177+BI180+BI439+BI442+BI445</f>
        <v>0</v>
      </c>
      <c r="BJ175" s="207">
        <f>BJ177+BJ180+BJ439+BJ442+BJ445</f>
        <v>0</v>
      </c>
      <c r="BK175" s="207">
        <f>BK177+BK180+BK439+BK442+BK445</f>
        <v>0</v>
      </c>
      <c r="BL175" s="211"/>
      <c r="BM175" s="211"/>
      <c r="BN175" s="210"/>
      <c r="BQ175" s="213"/>
      <c r="BR175" s="214"/>
      <c r="BS175" s="210"/>
    </row>
    <row r="176" spans="1:71" s="212" customFormat="1" ht="16.5" customHeight="1" x14ac:dyDescent="0.35">
      <c r="A176" s="499"/>
      <c r="B176" s="470"/>
      <c r="C176" s="202"/>
      <c r="D176" s="202"/>
      <c r="E176" s="203">
        <f>E178+E181</f>
        <v>0</v>
      </c>
      <c r="F176" s="203">
        <f>F178+F181</f>
        <v>0</v>
      </c>
      <c r="G176" s="204"/>
      <c r="H176" s="215"/>
      <c r="I176" s="203">
        <f>I178+I181</f>
        <v>0</v>
      </c>
      <c r="J176" s="203">
        <f>J178+J181</f>
        <v>0</v>
      </c>
      <c r="K176" s="488"/>
      <c r="L176" s="489"/>
      <c r="M176" s="500"/>
      <c r="N176" s="205">
        <f t="shared" si="95"/>
        <v>42060988.133928567</v>
      </c>
      <c r="O176" s="205">
        <f t="shared" si="95"/>
        <v>47108306.710000001</v>
      </c>
      <c r="P176" s="205">
        <f t="shared" si="95"/>
        <v>42060988.133928567</v>
      </c>
      <c r="Q176" s="205">
        <f t="shared" si="95"/>
        <v>47108306.710000001</v>
      </c>
      <c r="R176" s="206"/>
      <c r="S176" s="492"/>
      <c r="T176" s="203">
        <f t="shared" si="96"/>
        <v>0</v>
      </c>
      <c r="U176" s="203">
        <f t="shared" si="96"/>
        <v>0</v>
      </c>
      <c r="V176" s="216"/>
      <c r="W176" s="203">
        <f t="shared" si="96"/>
        <v>29320.050973214289</v>
      </c>
      <c r="X176" s="203">
        <f t="shared" si="96"/>
        <v>32838.457090000004</v>
      </c>
      <c r="Y176" s="216"/>
      <c r="Z176" s="203">
        <f t="shared" si="96"/>
        <v>29320.050973214289</v>
      </c>
      <c r="AA176" s="203">
        <f t="shared" si="96"/>
        <v>32838.457090000004</v>
      </c>
      <c r="AB176" s="216"/>
      <c r="AC176" s="203">
        <f t="shared" si="96"/>
        <v>0</v>
      </c>
      <c r="AD176" s="203">
        <f t="shared" si="96"/>
        <v>0</v>
      </c>
      <c r="AE176" s="216"/>
      <c r="AF176" s="203">
        <f t="shared" si="96"/>
        <v>0</v>
      </c>
      <c r="AG176" s="203">
        <f t="shared" si="96"/>
        <v>0</v>
      </c>
      <c r="AH176" s="216"/>
      <c r="AI176" s="203">
        <f t="shared" si="96"/>
        <v>0</v>
      </c>
      <c r="AJ176" s="203">
        <f t="shared" si="96"/>
        <v>0</v>
      </c>
      <c r="AK176" s="216"/>
      <c r="AL176" s="208" t="str">
        <f t="shared" si="90"/>
        <v/>
      </c>
      <c r="AM176" s="203">
        <f t="shared" si="97"/>
        <v>0</v>
      </c>
      <c r="AN176" s="203">
        <f t="shared" si="97"/>
        <v>0</v>
      </c>
      <c r="AO176" s="203">
        <f t="shared" si="97"/>
        <v>0</v>
      </c>
      <c r="AP176" s="203">
        <f t="shared" si="97"/>
        <v>0</v>
      </c>
      <c r="AQ176" s="203">
        <f t="shared" si="97"/>
        <v>0</v>
      </c>
      <c r="AR176" s="203">
        <f t="shared" si="97"/>
        <v>0</v>
      </c>
      <c r="AS176" s="203">
        <f t="shared" si="97"/>
        <v>0</v>
      </c>
      <c r="AT176" s="203">
        <f t="shared" si="97"/>
        <v>0</v>
      </c>
      <c r="AU176" s="203">
        <f t="shared" si="97"/>
        <v>0</v>
      </c>
      <c r="AV176" s="203">
        <f t="shared" si="97"/>
        <v>0</v>
      </c>
      <c r="AW176" s="203">
        <f t="shared" si="97"/>
        <v>0</v>
      </c>
      <c r="AX176" s="203">
        <f t="shared" si="97"/>
        <v>0</v>
      </c>
      <c r="AY176" s="203">
        <f t="shared" si="97"/>
        <v>0</v>
      </c>
      <c r="AZ176" s="203">
        <f t="shared" si="97"/>
        <v>0</v>
      </c>
      <c r="BA176" s="203">
        <f t="shared" si="97"/>
        <v>0</v>
      </c>
      <c r="BB176" s="203">
        <f t="shared" si="97"/>
        <v>0</v>
      </c>
      <c r="BC176" s="203">
        <f t="shared" si="97"/>
        <v>0</v>
      </c>
      <c r="BD176" s="203">
        <f t="shared" si="97"/>
        <v>0</v>
      </c>
      <c r="BE176" s="203">
        <f t="shared" si="97"/>
        <v>0</v>
      </c>
      <c r="BF176" s="203">
        <f t="shared" si="97"/>
        <v>0</v>
      </c>
      <c r="BG176" s="210"/>
      <c r="BH176" s="210"/>
      <c r="BI176" s="207">
        <f>BI178+BI181+BI437+BI440+BI443+BI446</f>
        <v>11865.687809999999</v>
      </c>
      <c r="BJ176" s="207">
        <f>BJ178+BJ181+BJ437+BJ440+BJ443+BJ446</f>
        <v>171406.79699999999</v>
      </c>
      <c r="BK176" s="207">
        <f>BK178+BK181+BK437+BK440+BK443+BK446</f>
        <v>38.474249999999998</v>
      </c>
      <c r="BL176" s="211"/>
      <c r="BM176" s="211"/>
      <c r="BN176" s="210"/>
      <c r="BQ176" s="213"/>
      <c r="BR176" s="214"/>
      <c r="BS176" s="210"/>
    </row>
    <row r="177" spans="1:71" s="227" customFormat="1" x14ac:dyDescent="0.35">
      <c r="A177" s="499"/>
      <c r="B177" s="470"/>
      <c r="C177" s="217" t="s">
        <v>72</v>
      </c>
      <c r="D177" s="217" t="s">
        <v>73</v>
      </c>
      <c r="E177" s="218">
        <f>I177</f>
        <v>0</v>
      </c>
      <c r="F177" s="218">
        <f>E177*1.12</f>
        <v>0</v>
      </c>
      <c r="G177" s="493">
        <v>1919</v>
      </c>
      <c r="H177" s="496"/>
      <c r="I177" s="219"/>
      <c r="J177" s="219">
        <f>I177*1.12</f>
        <v>0</v>
      </c>
      <c r="K177" s="463" t="s">
        <v>120</v>
      </c>
      <c r="L177" s="454" t="s">
        <v>121</v>
      </c>
      <c r="M177" s="459" t="s">
        <v>113</v>
      </c>
      <c r="N177" s="220">
        <f t="shared" ref="N177:O182" si="98">P177</f>
        <v>31966351.133928571</v>
      </c>
      <c r="O177" s="220">
        <f t="shared" si="98"/>
        <v>35802313.270000003</v>
      </c>
      <c r="P177" s="220">
        <f t="shared" ref="P177:P182" si="99">Q177/1.12</f>
        <v>31966351.133928571</v>
      </c>
      <c r="Q177" s="220">
        <v>35802313.270000003</v>
      </c>
      <c r="R177" s="454" t="s">
        <v>141</v>
      </c>
      <c r="S177" s="448">
        <v>19</v>
      </c>
      <c r="T177" s="221"/>
      <c r="U177" s="221"/>
      <c r="V177" s="221"/>
      <c r="W177" s="221">
        <f>9912+13358+5505-1-631</f>
        <v>28143</v>
      </c>
      <c r="X177" s="222">
        <f t="shared" ref="X177:X182" si="100">W177*1.12</f>
        <v>31520.160000000003</v>
      </c>
      <c r="Y177" s="221">
        <f>6+7+3</f>
        <v>16</v>
      </c>
      <c r="Z177" s="221">
        <f t="shared" ref="Z177:AB182" si="101">T177+W177</f>
        <v>28143</v>
      </c>
      <c r="AA177" s="221">
        <f t="shared" si="101"/>
        <v>31520.160000000003</v>
      </c>
      <c r="AB177" s="221">
        <f t="shared" si="101"/>
        <v>16</v>
      </c>
      <c r="AC177" s="221"/>
      <c r="AD177" s="221">
        <f>AC177*1.12</f>
        <v>0</v>
      </c>
      <c r="AE177" s="221"/>
      <c r="AF177" s="221"/>
      <c r="AG177" s="222">
        <f t="shared" ref="AG177:AG182" si="102">AF177*1.12</f>
        <v>0</v>
      </c>
      <c r="AH177" s="221"/>
      <c r="AI177" s="222"/>
      <c r="AJ177" s="222">
        <f>AI177*1.12</f>
        <v>0</v>
      </c>
      <c r="AK177" s="218">
        <f>AH177-AE177</f>
        <v>0</v>
      </c>
      <c r="AL177" s="223" t="str">
        <f t="shared" si="90"/>
        <v/>
      </c>
      <c r="AM177" s="224"/>
      <c r="AN177" s="224"/>
      <c r="AO177" s="224"/>
      <c r="AP177" s="222"/>
      <c r="AQ177" s="222">
        <f t="shared" ref="AQ177:AQ182" si="103">AP177*1.12</f>
        <v>0</v>
      </c>
      <c r="AR177" s="222"/>
      <c r="AS177" s="222"/>
      <c r="AT177" s="222"/>
      <c r="AU177" s="222"/>
      <c r="AV177" s="222"/>
      <c r="AW177" s="222"/>
      <c r="AX177" s="222"/>
      <c r="AY177" s="222"/>
      <c r="AZ177" s="225"/>
      <c r="BA177" s="222"/>
      <c r="BB177" s="222"/>
      <c r="BC177" s="222"/>
      <c r="BD177" s="222"/>
      <c r="BE177" s="222"/>
      <c r="BF177" s="222"/>
      <c r="BG177" s="226"/>
      <c r="BH177" s="226"/>
      <c r="BI177" s="226"/>
      <c r="BJ177" s="226"/>
      <c r="BK177" s="226"/>
      <c r="BL177" s="226"/>
      <c r="BM177" s="226"/>
      <c r="BN177" s="226"/>
      <c r="BQ177" s="228"/>
      <c r="BR177" s="229"/>
      <c r="BS177" s="226"/>
    </row>
    <row r="178" spans="1:71" s="103" customFormat="1" x14ac:dyDescent="0.35">
      <c r="A178" s="499"/>
      <c r="B178" s="470"/>
      <c r="C178" s="122" t="s">
        <v>74</v>
      </c>
      <c r="D178" s="122" t="s">
        <v>75</v>
      </c>
      <c r="E178" s="185">
        <f>E177</f>
        <v>0</v>
      </c>
      <c r="F178" s="185">
        <f>E178*1.12</f>
        <v>0</v>
      </c>
      <c r="G178" s="494"/>
      <c r="H178" s="497"/>
      <c r="I178" s="189">
        <f>I177</f>
        <v>0</v>
      </c>
      <c r="J178" s="189">
        <f>I178*1.12</f>
        <v>0</v>
      </c>
      <c r="K178" s="463"/>
      <c r="L178" s="454"/>
      <c r="M178" s="459"/>
      <c r="N178" s="125">
        <f t="shared" si="98"/>
        <v>31966351.133928571</v>
      </c>
      <c r="O178" s="125">
        <f t="shared" si="98"/>
        <v>35802313.270000003</v>
      </c>
      <c r="P178" s="125">
        <f t="shared" si="99"/>
        <v>31966351.133928571</v>
      </c>
      <c r="Q178" s="125">
        <f>Q177</f>
        <v>35802313.270000003</v>
      </c>
      <c r="R178" s="454"/>
      <c r="S178" s="448"/>
      <c r="T178" s="124"/>
      <c r="U178" s="124"/>
      <c r="V178" s="124"/>
      <c r="W178" s="124">
        <f>10704.88124/1.12+13135.26058/1.12+5109.78996/1.12</f>
        <v>25848.153375000002</v>
      </c>
      <c r="X178" s="123">
        <f t="shared" si="100"/>
        <v>28949.931780000006</v>
      </c>
      <c r="Y178" s="124"/>
      <c r="Z178" s="124">
        <f t="shared" si="101"/>
        <v>25848.153375000002</v>
      </c>
      <c r="AA178" s="124">
        <f t="shared" si="101"/>
        <v>28949.931780000006</v>
      </c>
      <c r="AB178" s="124"/>
      <c r="AC178" s="124"/>
      <c r="AD178" s="124">
        <f>AC178*1.12</f>
        <v>0</v>
      </c>
      <c r="AE178" s="124"/>
      <c r="AF178" s="124"/>
      <c r="AG178" s="123">
        <f t="shared" si="102"/>
        <v>0</v>
      </c>
      <c r="AH178" s="124"/>
      <c r="AI178" s="123"/>
      <c r="AJ178" s="123">
        <f>AI178*1.12</f>
        <v>0</v>
      </c>
      <c r="AK178" s="123"/>
      <c r="AL178" s="126" t="str">
        <f t="shared" si="90"/>
        <v/>
      </c>
      <c r="AM178" s="127">
        <f>AF178</f>
        <v>0</v>
      </c>
      <c r="AN178" s="127"/>
      <c r="AO178" s="127"/>
      <c r="AP178" s="123">
        <f>AF178</f>
        <v>0</v>
      </c>
      <c r="AQ178" s="123">
        <f t="shared" si="103"/>
        <v>0</v>
      </c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23"/>
      <c r="BD178" s="123"/>
      <c r="BE178" s="123"/>
      <c r="BF178" s="123"/>
      <c r="BG178" s="106"/>
      <c r="BH178" s="106"/>
      <c r="BI178" s="106"/>
      <c r="BJ178" s="106"/>
      <c r="BK178" s="106"/>
      <c r="BL178" s="106"/>
      <c r="BM178" s="106"/>
      <c r="BN178" s="106"/>
      <c r="BQ178" s="29"/>
      <c r="BR178" s="107"/>
      <c r="BS178" s="106"/>
    </row>
    <row r="179" spans="1:71" x14ac:dyDescent="0.35">
      <c r="A179" s="499"/>
      <c r="B179" s="470"/>
      <c r="C179" s="129" t="s">
        <v>74</v>
      </c>
      <c r="D179" s="129" t="s">
        <v>76</v>
      </c>
      <c r="E179" s="187">
        <f>E178</f>
        <v>0</v>
      </c>
      <c r="F179" s="187">
        <f>F178</f>
        <v>0</v>
      </c>
      <c r="G179" s="494"/>
      <c r="H179" s="497"/>
      <c r="I179" s="191">
        <f>I178</f>
        <v>0</v>
      </c>
      <c r="J179" s="191">
        <f>J178</f>
        <v>0</v>
      </c>
      <c r="K179" s="463"/>
      <c r="L179" s="454"/>
      <c r="M179" s="459"/>
      <c r="N179" s="132">
        <f t="shared" si="98"/>
        <v>31966351.133928571</v>
      </c>
      <c r="O179" s="132">
        <f t="shared" si="98"/>
        <v>35802313.270000003</v>
      </c>
      <c r="P179" s="132">
        <f t="shared" si="99"/>
        <v>31966351.133928571</v>
      </c>
      <c r="Q179" s="132">
        <f>Q178</f>
        <v>35802313.270000003</v>
      </c>
      <c r="R179" s="454"/>
      <c r="S179" s="448"/>
      <c r="T179" s="131"/>
      <c r="U179" s="131"/>
      <c r="V179" s="131"/>
      <c r="W179" s="131">
        <f>W178</f>
        <v>25848.153375000002</v>
      </c>
      <c r="X179" s="130">
        <f t="shared" si="100"/>
        <v>28949.931780000006</v>
      </c>
      <c r="Y179" s="131"/>
      <c r="Z179" s="131">
        <f t="shared" si="101"/>
        <v>25848.153375000002</v>
      </c>
      <c r="AA179" s="131">
        <f t="shared" si="101"/>
        <v>28949.931780000006</v>
      </c>
      <c r="AB179" s="131"/>
      <c r="AC179" s="131">
        <f>AC178</f>
        <v>0</v>
      </c>
      <c r="AD179" s="131">
        <f>AD178</f>
        <v>0</v>
      </c>
      <c r="AE179" s="131"/>
      <c r="AF179" s="131">
        <f>AF178</f>
        <v>0</v>
      </c>
      <c r="AG179" s="130">
        <f t="shared" si="102"/>
        <v>0</v>
      </c>
      <c r="AH179" s="131"/>
      <c r="AI179" s="130">
        <f>AI178</f>
        <v>0</v>
      </c>
      <c r="AJ179" s="130">
        <f>AJ178</f>
        <v>0</v>
      </c>
      <c r="AK179" s="130"/>
      <c r="AL179" s="133" t="str">
        <f t="shared" si="90"/>
        <v/>
      </c>
      <c r="AM179" s="134">
        <f>AF179</f>
        <v>0</v>
      </c>
      <c r="AN179" s="134"/>
      <c r="AO179" s="134"/>
      <c r="AP179" s="130">
        <f>AF179</f>
        <v>0</v>
      </c>
      <c r="AQ179" s="130">
        <f t="shared" si="103"/>
        <v>0</v>
      </c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31"/>
      <c r="BH179" s="31"/>
      <c r="BI179" s="31"/>
      <c r="BJ179" s="31"/>
      <c r="BK179" s="31"/>
      <c r="BL179" s="31"/>
      <c r="BM179" s="31"/>
      <c r="BN179" s="31"/>
      <c r="BQ179" s="27"/>
      <c r="BR179" s="28"/>
      <c r="BS179" s="31"/>
    </row>
    <row r="180" spans="1:71" s="227" customFormat="1" x14ac:dyDescent="0.35">
      <c r="A180" s="499"/>
      <c r="B180" s="470"/>
      <c r="C180" s="217" t="s">
        <v>72</v>
      </c>
      <c r="D180" s="217" t="s">
        <v>73</v>
      </c>
      <c r="E180" s="218"/>
      <c r="F180" s="218"/>
      <c r="G180" s="494"/>
      <c r="H180" s="497"/>
      <c r="I180" s="219"/>
      <c r="J180" s="219"/>
      <c r="K180" s="483" t="s">
        <v>129</v>
      </c>
      <c r="L180" s="480" t="s">
        <v>130</v>
      </c>
      <c r="M180" s="459" t="s">
        <v>113</v>
      </c>
      <c r="N180" s="220">
        <f t="shared" si="98"/>
        <v>10094636.999999998</v>
      </c>
      <c r="O180" s="220">
        <f t="shared" si="98"/>
        <v>11305993.439999999</v>
      </c>
      <c r="P180" s="220">
        <f t="shared" si="99"/>
        <v>10094636.999999998</v>
      </c>
      <c r="Q180" s="220">
        <v>11305993.439999999</v>
      </c>
      <c r="R180" s="454" t="s">
        <v>141</v>
      </c>
      <c r="S180" s="448">
        <v>6</v>
      </c>
      <c r="T180" s="221"/>
      <c r="U180" s="221"/>
      <c r="V180" s="221"/>
      <c r="W180" s="221">
        <f>2537+1684-1</f>
        <v>4220</v>
      </c>
      <c r="X180" s="222">
        <f t="shared" si="100"/>
        <v>4726.4000000000005</v>
      </c>
      <c r="Y180" s="221">
        <f>4+2</f>
        <v>6</v>
      </c>
      <c r="Z180" s="221">
        <f t="shared" si="101"/>
        <v>4220</v>
      </c>
      <c r="AA180" s="221">
        <f t="shared" si="101"/>
        <v>4726.4000000000005</v>
      </c>
      <c r="AB180" s="221">
        <f t="shared" si="101"/>
        <v>6</v>
      </c>
      <c r="AC180" s="221"/>
      <c r="AD180" s="221"/>
      <c r="AE180" s="221"/>
      <c r="AF180" s="221"/>
      <c r="AG180" s="222">
        <f t="shared" si="102"/>
        <v>0</v>
      </c>
      <c r="AH180" s="221"/>
      <c r="AI180" s="222"/>
      <c r="AJ180" s="222">
        <f>AI180*1.12</f>
        <v>0</v>
      </c>
      <c r="AK180" s="218">
        <f>AH180-AE180</f>
        <v>0</v>
      </c>
      <c r="AL180" s="223" t="str">
        <f t="shared" si="90"/>
        <v/>
      </c>
      <c r="AM180" s="224"/>
      <c r="AN180" s="224"/>
      <c r="AO180" s="224"/>
      <c r="AP180" s="222"/>
      <c r="AQ180" s="222">
        <f t="shared" si="103"/>
        <v>0</v>
      </c>
      <c r="AR180" s="222"/>
      <c r="AS180" s="222"/>
      <c r="AT180" s="222"/>
      <c r="AU180" s="222"/>
      <c r="AV180" s="222"/>
      <c r="AW180" s="222"/>
      <c r="AX180" s="222"/>
      <c r="AY180" s="222"/>
      <c r="AZ180" s="225"/>
      <c r="BA180" s="222"/>
      <c r="BB180" s="222"/>
      <c r="BC180" s="222"/>
      <c r="BD180" s="222"/>
      <c r="BE180" s="222"/>
      <c r="BF180" s="222"/>
      <c r="BG180" s="226"/>
      <c r="BH180" s="226"/>
      <c r="BI180" s="226"/>
      <c r="BJ180" s="226"/>
      <c r="BK180" s="226"/>
      <c r="BL180" s="226"/>
      <c r="BM180" s="226"/>
      <c r="BN180" s="226"/>
      <c r="BQ180" s="228"/>
      <c r="BR180" s="229"/>
      <c r="BS180" s="226"/>
    </row>
    <row r="181" spans="1:71" s="103" customFormat="1" x14ac:dyDescent="0.35">
      <c r="A181" s="499"/>
      <c r="B181" s="470"/>
      <c r="C181" s="122" t="s">
        <v>74</v>
      </c>
      <c r="D181" s="122" t="s">
        <v>75</v>
      </c>
      <c r="E181" s="185"/>
      <c r="F181" s="185"/>
      <c r="G181" s="494"/>
      <c r="H181" s="497"/>
      <c r="I181" s="189"/>
      <c r="J181" s="189"/>
      <c r="K181" s="484"/>
      <c r="L181" s="481"/>
      <c r="M181" s="459"/>
      <c r="N181" s="125">
        <f t="shared" si="98"/>
        <v>10094636.999999998</v>
      </c>
      <c r="O181" s="125">
        <f t="shared" si="98"/>
        <v>11305993.439999999</v>
      </c>
      <c r="P181" s="125">
        <f t="shared" si="99"/>
        <v>10094636.999999998</v>
      </c>
      <c r="Q181" s="125">
        <f>Q180</f>
        <v>11305993.439999999</v>
      </c>
      <c r="R181" s="454"/>
      <c r="S181" s="448"/>
      <c r="T181" s="124"/>
      <c r="U181" s="124"/>
      <c r="V181" s="124"/>
      <c r="W181" s="124">
        <f>2810.62118/1.12+1077.90413/1.12</f>
        <v>3471.8975982142856</v>
      </c>
      <c r="X181" s="123">
        <f t="shared" si="100"/>
        <v>3888.5253100000004</v>
      </c>
      <c r="Y181" s="124"/>
      <c r="Z181" s="124">
        <f t="shared" si="101"/>
        <v>3471.8975982142856</v>
      </c>
      <c r="AA181" s="124">
        <f t="shared" si="101"/>
        <v>3888.5253100000004</v>
      </c>
      <c r="AB181" s="124"/>
      <c r="AC181" s="124"/>
      <c r="AD181" s="124">
        <f>AC181*1.12</f>
        <v>0</v>
      </c>
      <c r="AE181" s="124"/>
      <c r="AF181" s="124"/>
      <c r="AG181" s="123">
        <f t="shared" si="102"/>
        <v>0</v>
      </c>
      <c r="AH181" s="124"/>
      <c r="AI181" s="123"/>
      <c r="AJ181" s="123">
        <f>AI181*1.12</f>
        <v>0</v>
      </c>
      <c r="AK181" s="123"/>
      <c r="AL181" s="126" t="str">
        <f t="shared" si="90"/>
        <v/>
      </c>
      <c r="AM181" s="127">
        <f>AF181</f>
        <v>0</v>
      </c>
      <c r="AN181" s="127"/>
      <c r="AO181" s="127"/>
      <c r="AP181" s="123">
        <f>AF181</f>
        <v>0</v>
      </c>
      <c r="AQ181" s="123">
        <f t="shared" si="103"/>
        <v>0</v>
      </c>
      <c r="AR181" s="123"/>
      <c r="AS181" s="123"/>
      <c r="AT181" s="123"/>
      <c r="AU181" s="123"/>
      <c r="AV181" s="123"/>
      <c r="AW181" s="123"/>
      <c r="AX181" s="123"/>
      <c r="AY181" s="123"/>
      <c r="AZ181" s="123"/>
      <c r="BA181" s="123"/>
      <c r="BB181" s="123"/>
      <c r="BC181" s="123"/>
      <c r="BD181" s="123"/>
      <c r="BE181" s="123"/>
      <c r="BF181" s="123"/>
      <c r="BG181" s="106"/>
      <c r="BH181" s="106"/>
      <c r="BI181" s="106"/>
      <c r="BJ181" s="106"/>
      <c r="BK181" s="106"/>
      <c r="BL181" s="106"/>
      <c r="BM181" s="106"/>
      <c r="BN181" s="106"/>
      <c r="BQ181" s="29"/>
      <c r="BR181" s="107"/>
      <c r="BS181" s="106"/>
    </row>
    <row r="182" spans="1:71" x14ac:dyDescent="0.35">
      <c r="A182" s="439"/>
      <c r="B182" s="437"/>
      <c r="C182" s="129" t="s">
        <v>74</v>
      </c>
      <c r="D182" s="129" t="s">
        <v>76</v>
      </c>
      <c r="E182" s="187"/>
      <c r="F182" s="187"/>
      <c r="G182" s="495"/>
      <c r="H182" s="498"/>
      <c r="I182" s="191"/>
      <c r="J182" s="191"/>
      <c r="K182" s="485"/>
      <c r="L182" s="482"/>
      <c r="M182" s="459"/>
      <c r="N182" s="132">
        <f t="shared" si="98"/>
        <v>10094636.999999998</v>
      </c>
      <c r="O182" s="132">
        <f t="shared" si="98"/>
        <v>11305993.439999999</v>
      </c>
      <c r="P182" s="132">
        <f t="shared" si="99"/>
        <v>10094636.999999998</v>
      </c>
      <c r="Q182" s="132">
        <f>Q181</f>
        <v>11305993.439999999</v>
      </c>
      <c r="R182" s="454"/>
      <c r="S182" s="448"/>
      <c r="T182" s="131"/>
      <c r="U182" s="131"/>
      <c r="V182" s="131"/>
      <c r="W182" s="131">
        <f>W181</f>
        <v>3471.8975982142856</v>
      </c>
      <c r="X182" s="130">
        <f t="shared" si="100"/>
        <v>3888.5253100000004</v>
      </c>
      <c r="Y182" s="131"/>
      <c r="Z182" s="131">
        <f t="shared" si="101"/>
        <v>3471.8975982142856</v>
      </c>
      <c r="AA182" s="131">
        <f t="shared" si="101"/>
        <v>3888.5253100000004</v>
      </c>
      <c r="AB182" s="131"/>
      <c r="AC182" s="131">
        <f>AC181</f>
        <v>0</v>
      </c>
      <c r="AD182" s="131">
        <f>AD181</f>
        <v>0</v>
      </c>
      <c r="AE182" s="131"/>
      <c r="AF182" s="131">
        <f>AF181</f>
        <v>0</v>
      </c>
      <c r="AG182" s="130">
        <f t="shared" si="102"/>
        <v>0</v>
      </c>
      <c r="AH182" s="131"/>
      <c r="AI182" s="130">
        <f>AI181</f>
        <v>0</v>
      </c>
      <c r="AJ182" s="130">
        <f>AJ181</f>
        <v>0</v>
      </c>
      <c r="AK182" s="130"/>
      <c r="AL182" s="133" t="str">
        <f t="shared" si="90"/>
        <v/>
      </c>
      <c r="AM182" s="134">
        <f>AF182</f>
        <v>0</v>
      </c>
      <c r="AN182" s="134"/>
      <c r="AO182" s="134"/>
      <c r="AP182" s="130">
        <f>AF182</f>
        <v>0</v>
      </c>
      <c r="AQ182" s="130">
        <f t="shared" si="103"/>
        <v>0</v>
      </c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31"/>
      <c r="BH182" s="31"/>
      <c r="BI182" s="31"/>
      <c r="BJ182" s="31"/>
      <c r="BK182" s="31"/>
      <c r="BL182" s="31"/>
      <c r="BM182" s="31"/>
      <c r="BN182" s="31"/>
      <c r="BQ182" s="27"/>
      <c r="BR182" s="28"/>
      <c r="BS182" s="31"/>
    </row>
    <row r="183" spans="1:71" s="212" customFormat="1" x14ac:dyDescent="0.35">
      <c r="A183" s="438">
        <v>4</v>
      </c>
      <c r="B183" s="436" t="s">
        <v>142</v>
      </c>
      <c r="C183" s="202"/>
      <c r="D183" s="202"/>
      <c r="E183" s="203">
        <f>E185+E188+E191+E194+E197+E200</f>
        <v>145049</v>
      </c>
      <c r="F183" s="203">
        <f>F185+F188+F191+F194+F197+F200</f>
        <v>162454.88</v>
      </c>
      <c r="G183" s="204"/>
      <c r="H183" s="215">
        <f>H185</f>
        <v>0</v>
      </c>
      <c r="I183" s="203">
        <f>I185+I188+I191+I194+I197+I200</f>
        <v>0</v>
      </c>
      <c r="J183" s="203">
        <f>J185+J188+J191+J194+J197+J200</f>
        <v>0</v>
      </c>
      <c r="K183" s="486" t="s">
        <v>143</v>
      </c>
      <c r="L183" s="487"/>
      <c r="M183" s="500" t="s">
        <v>113</v>
      </c>
      <c r="N183" s="241">
        <f t="shared" ref="N183:Q184" si="104">N185+N188+N191+N194+N197+N200</f>
        <v>116027813.70535713</v>
      </c>
      <c r="O183" s="242">
        <f t="shared" si="104"/>
        <v>129951151.34999999</v>
      </c>
      <c r="P183" s="241">
        <f t="shared" si="104"/>
        <v>116027813.70535713</v>
      </c>
      <c r="Q183" s="243">
        <f t="shared" si="104"/>
        <v>129951151.34999999</v>
      </c>
      <c r="R183" s="206"/>
      <c r="S183" s="492">
        <f>S185+S188+S191+S194+S197+S200</f>
        <v>66</v>
      </c>
      <c r="T183" s="216">
        <f t="shared" ref="T183:AB184" si="105">T185+T188+T191+T194+T197+T200</f>
        <v>0</v>
      </c>
      <c r="U183" s="216">
        <f t="shared" si="105"/>
        <v>0</v>
      </c>
      <c r="V183" s="216">
        <f t="shared" si="105"/>
        <v>0</v>
      </c>
      <c r="W183" s="216">
        <f t="shared" si="105"/>
        <v>75582</v>
      </c>
      <c r="X183" s="216">
        <f t="shared" si="105"/>
        <v>84651.840000000011</v>
      </c>
      <c r="Y183" s="216">
        <f t="shared" si="105"/>
        <v>66</v>
      </c>
      <c r="Z183" s="216">
        <f t="shared" si="105"/>
        <v>75582</v>
      </c>
      <c r="AA183" s="216">
        <f t="shared" si="105"/>
        <v>84651.840000000011</v>
      </c>
      <c r="AB183" s="216">
        <f t="shared" si="105"/>
        <v>66</v>
      </c>
      <c r="AC183" s="216">
        <f>AC185+AC188+AC191+AC194+AC197+AC200</f>
        <v>0</v>
      </c>
      <c r="AD183" s="216">
        <f t="shared" ref="AD183:AG184" si="106">AD185+AD188+AD191+AD194+AD197+AD200</f>
        <v>0</v>
      </c>
      <c r="AE183" s="216">
        <f t="shared" si="106"/>
        <v>0</v>
      </c>
      <c r="AF183" s="216">
        <f t="shared" si="106"/>
        <v>0</v>
      </c>
      <c r="AG183" s="207">
        <f t="shared" si="106"/>
        <v>0</v>
      </c>
      <c r="AH183" s="216">
        <f>AH185+AH188+AH191+AH194+AH197+AH200</f>
        <v>0</v>
      </c>
      <c r="AI183" s="207">
        <f>AF183-AC183</f>
        <v>0</v>
      </c>
      <c r="AJ183" s="207">
        <f>AG183-AD183</f>
        <v>0</v>
      </c>
      <c r="AK183" s="207">
        <f>AK185+AK188+AK191+AK194+AK197+AK200</f>
        <v>0</v>
      </c>
      <c r="AL183" s="208" t="str">
        <f t="shared" si="90"/>
        <v/>
      </c>
      <c r="AM183" s="244">
        <f t="shared" ref="AM183:BF184" si="107">AM185+AM188+AM191+AM194+AM197+AM200</f>
        <v>0</v>
      </c>
      <c r="AN183" s="244">
        <f t="shared" si="107"/>
        <v>0</v>
      </c>
      <c r="AO183" s="244">
        <f t="shared" si="107"/>
        <v>0</v>
      </c>
      <c r="AP183" s="207">
        <f t="shared" si="107"/>
        <v>0</v>
      </c>
      <c r="AQ183" s="207">
        <f t="shared" si="107"/>
        <v>0</v>
      </c>
      <c r="AR183" s="207">
        <f t="shared" si="107"/>
        <v>0</v>
      </c>
      <c r="AS183" s="207">
        <f t="shared" si="107"/>
        <v>0</v>
      </c>
      <c r="AT183" s="207">
        <f t="shared" si="107"/>
        <v>0</v>
      </c>
      <c r="AU183" s="207">
        <f t="shared" si="107"/>
        <v>0</v>
      </c>
      <c r="AV183" s="207">
        <f t="shared" si="107"/>
        <v>0</v>
      </c>
      <c r="AW183" s="207">
        <f t="shared" si="107"/>
        <v>0</v>
      </c>
      <c r="AX183" s="207">
        <f t="shared" si="107"/>
        <v>0</v>
      </c>
      <c r="AY183" s="207">
        <f t="shared" si="107"/>
        <v>0</v>
      </c>
      <c r="AZ183" s="207">
        <f t="shared" si="107"/>
        <v>0</v>
      </c>
      <c r="BA183" s="207">
        <f t="shared" si="107"/>
        <v>0</v>
      </c>
      <c r="BB183" s="207">
        <f t="shared" si="107"/>
        <v>0</v>
      </c>
      <c r="BC183" s="207">
        <f t="shared" si="107"/>
        <v>0</v>
      </c>
      <c r="BD183" s="207">
        <f t="shared" si="107"/>
        <v>0</v>
      </c>
      <c r="BE183" s="207">
        <f t="shared" si="107"/>
        <v>0</v>
      </c>
      <c r="BF183" s="207">
        <f t="shared" si="107"/>
        <v>0</v>
      </c>
      <c r="BG183" s="209" t="s">
        <v>84</v>
      </c>
      <c r="BH183" s="210"/>
      <c r="BI183" s="207">
        <f t="shared" ref="BI183:BK184" si="108">BI185+BI188+BI191+BI194+BI197+BI200</f>
        <v>0</v>
      </c>
      <c r="BJ183" s="207">
        <f t="shared" si="108"/>
        <v>0</v>
      </c>
      <c r="BK183" s="207">
        <f t="shared" si="108"/>
        <v>0</v>
      </c>
      <c r="BL183" s="211"/>
      <c r="BM183" s="211"/>
      <c r="BN183" s="210"/>
      <c r="BQ183" s="213"/>
      <c r="BR183" s="214"/>
      <c r="BS183" s="210"/>
    </row>
    <row r="184" spans="1:71" s="212" customFormat="1" x14ac:dyDescent="0.35">
      <c r="A184" s="499"/>
      <c r="B184" s="470"/>
      <c r="C184" s="202"/>
      <c r="D184" s="202"/>
      <c r="E184" s="203">
        <f>E186+E189+E192+E195+E198+E201</f>
        <v>145049</v>
      </c>
      <c r="F184" s="203">
        <f>F186+F189+F192+F195+F198+F201</f>
        <v>162454.88</v>
      </c>
      <c r="G184" s="204"/>
      <c r="H184" s="215"/>
      <c r="I184" s="203">
        <f>I186+I189+I192+I195+I198+I201</f>
        <v>1075.8928571428571</v>
      </c>
      <c r="J184" s="203">
        <f>J186+J189+J192+J195+J198+J201</f>
        <v>1205</v>
      </c>
      <c r="K184" s="488"/>
      <c r="L184" s="489"/>
      <c r="M184" s="500"/>
      <c r="N184" s="241">
        <f t="shared" si="104"/>
        <v>116027813.70535713</v>
      </c>
      <c r="O184" s="242">
        <f t="shared" si="104"/>
        <v>129951151.34999999</v>
      </c>
      <c r="P184" s="241">
        <f t="shared" si="104"/>
        <v>116027813.70535713</v>
      </c>
      <c r="Q184" s="243">
        <f t="shared" si="104"/>
        <v>129951151.34999999</v>
      </c>
      <c r="R184" s="206"/>
      <c r="S184" s="492"/>
      <c r="T184" s="216">
        <f t="shared" si="105"/>
        <v>0</v>
      </c>
      <c r="U184" s="216">
        <f t="shared" si="105"/>
        <v>0</v>
      </c>
      <c r="V184" s="216"/>
      <c r="W184" s="216">
        <f t="shared" si="105"/>
        <v>62991.619071428562</v>
      </c>
      <c r="X184" s="216">
        <f t="shared" si="105"/>
        <v>70550.613359999988</v>
      </c>
      <c r="Y184" s="216"/>
      <c r="Z184" s="216">
        <f t="shared" si="105"/>
        <v>62991.619071428562</v>
      </c>
      <c r="AA184" s="216">
        <f t="shared" si="105"/>
        <v>70550.613359999988</v>
      </c>
      <c r="AB184" s="216"/>
      <c r="AC184" s="216">
        <f>AC186+AC189+AC192+AC195+AC198+AC201</f>
        <v>1075.8928571428571</v>
      </c>
      <c r="AD184" s="216">
        <f t="shared" si="106"/>
        <v>1205</v>
      </c>
      <c r="AE184" s="216"/>
      <c r="AF184" s="216">
        <f t="shared" si="106"/>
        <v>1075.5206607142857</v>
      </c>
      <c r="AG184" s="216">
        <f t="shared" si="106"/>
        <v>1204.58314</v>
      </c>
      <c r="AH184" s="216"/>
      <c r="AI184" s="207">
        <f>AF184-AC184</f>
        <v>-0.37219642857144208</v>
      </c>
      <c r="AJ184" s="207">
        <f>AG184-AD184</f>
        <v>-0.41686000000004242</v>
      </c>
      <c r="AK184" s="207"/>
      <c r="AL184" s="208">
        <f t="shared" si="90"/>
        <v>0.99965405809128627</v>
      </c>
      <c r="AM184" s="244">
        <f t="shared" si="107"/>
        <v>1075.5206607142857</v>
      </c>
      <c r="AN184" s="244">
        <f t="shared" si="107"/>
        <v>0</v>
      </c>
      <c r="AO184" s="244">
        <f t="shared" si="107"/>
        <v>0</v>
      </c>
      <c r="AP184" s="207">
        <f t="shared" si="107"/>
        <v>1075.8928571428571</v>
      </c>
      <c r="AQ184" s="207">
        <f t="shared" si="107"/>
        <v>1205</v>
      </c>
      <c r="AR184" s="207">
        <f t="shared" si="107"/>
        <v>0</v>
      </c>
      <c r="AS184" s="207">
        <f t="shared" si="107"/>
        <v>0</v>
      </c>
      <c r="AT184" s="207">
        <f t="shared" si="107"/>
        <v>0</v>
      </c>
      <c r="AU184" s="207">
        <f t="shared" si="107"/>
        <v>0</v>
      </c>
      <c r="AV184" s="207">
        <f t="shared" si="107"/>
        <v>0</v>
      </c>
      <c r="AW184" s="207">
        <f t="shared" si="107"/>
        <v>0</v>
      </c>
      <c r="AX184" s="207">
        <f t="shared" si="107"/>
        <v>0</v>
      </c>
      <c r="AY184" s="207">
        <f t="shared" si="107"/>
        <v>0</v>
      </c>
      <c r="AZ184" s="207">
        <f t="shared" si="107"/>
        <v>0</v>
      </c>
      <c r="BA184" s="207">
        <f t="shared" si="107"/>
        <v>0</v>
      </c>
      <c r="BB184" s="207">
        <f t="shared" si="107"/>
        <v>0</v>
      </c>
      <c r="BC184" s="207">
        <f t="shared" si="107"/>
        <v>0</v>
      </c>
      <c r="BD184" s="207">
        <f t="shared" si="107"/>
        <v>0</v>
      </c>
      <c r="BE184" s="207">
        <f t="shared" si="107"/>
        <v>0</v>
      </c>
      <c r="BF184" s="207">
        <f t="shared" si="107"/>
        <v>0</v>
      </c>
      <c r="BG184" s="210"/>
      <c r="BH184" s="210"/>
      <c r="BI184" s="207">
        <f t="shared" si="108"/>
        <v>0</v>
      </c>
      <c r="BJ184" s="207">
        <f t="shared" si="108"/>
        <v>0</v>
      </c>
      <c r="BK184" s="207">
        <f t="shared" si="108"/>
        <v>0</v>
      </c>
      <c r="BL184" s="211"/>
      <c r="BM184" s="211"/>
      <c r="BN184" s="210"/>
      <c r="BQ184" s="213"/>
      <c r="BR184" s="214"/>
      <c r="BS184" s="210"/>
    </row>
    <row r="185" spans="1:71" s="227" customFormat="1" x14ac:dyDescent="0.35">
      <c r="A185" s="499"/>
      <c r="B185" s="470"/>
      <c r="C185" s="217" t="s">
        <v>72</v>
      </c>
      <c r="D185" s="217" t="s">
        <v>73</v>
      </c>
      <c r="E185" s="218"/>
      <c r="F185" s="218">
        <f>E185*1.12</f>
        <v>0</v>
      </c>
      <c r="G185" s="493">
        <v>1919</v>
      </c>
      <c r="H185" s="496"/>
      <c r="I185" s="219"/>
      <c r="J185" s="219">
        <f>I185*1.12</f>
        <v>0</v>
      </c>
      <c r="K185" s="483" t="s">
        <v>129</v>
      </c>
      <c r="L185" s="480" t="s">
        <v>130</v>
      </c>
      <c r="M185" s="459" t="s">
        <v>113</v>
      </c>
      <c r="N185" s="220">
        <f t="shared" ref="N185:O202" si="109">P185</f>
        <v>35159942.999999993</v>
      </c>
      <c r="O185" s="220">
        <f t="shared" si="109"/>
        <v>39379136.159999996</v>
      </c>
      <c r="P185" s="220">
        <f>Q185/1.12</f>
        <v>35159942.999999993</v>
      </c>
      <c r="Q185" s="220">
        <v>39379136.159999996</v>
      </c>
      <c r="R185" s="454" t="s">
        <v>144</v>
      </c>
      <c r="S185" s="448">
        <v>20</v>
      </c>
      <c r="T185" s="221"/>
      <c r="U185" s="221"/>
      <c r="V185" s="221"/>
      <c r="W185" s="221">
        <f>3625+5841+12476-6494-11+813+611</f>
        <v>16861</v>
      </c>
      <c r="X185" s="222">
        <f>W185*1.12</f>
        <v>18884.320000000003</v>
      </c>
      <c r="Y185" s="221">
        <f>4+6+6+3+1</f>
        <v>20</v>
      </c>
      <c r="Z185" s="221">
        <f t="shared" ref="Z185:AB202" si="110">T185+W185</f>
        <v>16861</v>
      </c>
      <c r="AA185" s="221">
        <f t="shared" si="110"/>
        <v>18884.320000000003</v>
      </c>
      <c r="AB185" s="221">
        <f t="shared" si="110"/>
        <v>20</v>
      </c>
      <c r="AC185" s="221"/>
      <c r="AD185" s="221">
        <f>AC185*1.12</f>
        <v>0</v>
      </c>
      <c r="AE185" s="221"/>
      <c r="AF185" s="221"/>
      <c r="AG185" s="222">
        <f>AF185*1.12</f>
        <v>0</v>
      </c>
      <c r="AH185" s="221"/>
      <c r="AI185" s="222"/>
      <c r="AJ185" s="222">
        <f>AI185*1.12</f>
        <v>0</v>
      </c>
      <c r="AK185" s="222">
        <f>AH185-AE185</f>
        <v>0</v>
      </c>
      <c r="AL185" s="223"/>
      <c r="AM185" s="224"/>
      <c r="AN185" s="224"/>
      <c r="AO185" s="224"/>
      <c r="AP185" s="222"/>
      <c r="AQ185" s="222">
        <f t="shared" ref="AQ185:AQ202" si="111">AP185*1.12</f>
        <v>0</v>
      </c>
      <c r="AR185" s="222">
        <f>S185</f>
        <v>20</v>
      </c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6"/>
      <c r="BH185" s="226"/>
      <c r="BI185" s="226"/>
      <c r="BJ185" s="226"/>
      <c r="BK185" s="226"/>
      <c r="BL185" s="226"/>
      <c r="BM185" s="226"/>
      <c r="BN185" s="226"/>
      <c r="BQ185" s="228"/>
      <c r="BR185" s="229"/>
      <c r="BS185" s="226"/>
    </row>
    <row r="186" spans="1:71" s="103" customFormat="1" x14ac:dyDescent="0.35">
      <c r="A186" s="499"/>
      <c r="B186" s="470"/>
      <c r="C186" s="122" t="s">
        <v>74</v>
      </c>
      <c r="D186" s="122" t="s">
        <v>75</v>
      </c>
      <c r="E186" s="185">
        <f>E187</f>
        <v>0</v>
      </c>
      <c r="F186" s="185">
        <f>E186*1.12</f>
        <v>0</v>
      </c>
      <c r="G186" s="494"/>
      <c r="H186" s="497"/>
      <c r="I186" s="189"/>
      <c r="J186" s="189">
        <f>I186*1.12</f>
        <v>0</v>
      </c>
      <c r="K186" s="484"/>
      <c r="L186" s="481"/>
      <c r="M186" s="459"/>
      <c r="N186" s="125">
        <f t="shared" si="109"/>
        <v>35159942.999999993</v>
      </c>
      <c r="O186" s="125">
        <f t="shared" si="109"/>
        <v>39379136.159999996</v>
      </c>
      <c r="P186" s="125">
        <f>Q186/1.12</f>
        <v>35159942.999999993</v>
      </c>
      <c r="Q186" s="125">
        <f>Q185</f>
        <v>39379136.159999996</v>
      </c>
      <c r="R186" s="454"/>
      <c r="S186" s="448"/>
      <c r="T186" s="124"/>
      <c r="U186" s="124"/>
      <c r="V186" s="124"/>
      <c r="W186" s="124">
        <f>2663.34195/1.12+4338.93694/1.12+4164.54777/1.12+1878.88636/1.12+1587.41848/1.12</f>
        <v>13065.295982142856</v>
      </c>
      <c r="X186" s="245">
        <f>W186*1.12</f>
        <v>14633.1315</v>
      </c>
      <c r="Y186" s="246"/>
      <c r="Z186" s="124">
        <f t="shared" si="110"/>
        <v>13065.295982142856</v>
      </c>
      <c r="AA186" s="124">
        <f t="shared" si="110"/>
        <v>14633.1315</v>
      </c>
      <c r="AB186" s="124"/>
      <c r="AC186" s="124"/>
      <c r="AD186" s="124">
        <f>AC186*1.12</f>
        <v>0</v>
      </c>
      <c r="AE186" s="124"/>
      <c r="AF186" s="124"/>
      <c r="AG186" s="245">
        <f>AF186*1.12</f>
        <v>0</v>
      </c>
      <c r="AH186" s="246"/>
      <c r="AI186" s="123"/>
      <c r="AJ186" s="123">
        <f>AI186*1.12</f>
        <v>0</v>
      </c>
      <c r="AK186" s="123"/>
      <c r="AL186" s="126"/>
      <c r="AM186" s="127">
        <f>AF186</f>
        <v>0</v>
      </c>
      <c r="AN186" s="127"/>
      <c r="AO186" s="127"/>
      <c r="AP186" s="123"/>
      <c r="AQ186" s="123">
        <f t="shared" si="111"/>
        <v>0</v>
      </c>
      <c r="AR186" s="123"/>
      <c r="AS186" s="123"/>
      <c r="AT186" s="123"/>
      <c r="AU186" s="123"/>
      <c r="AV186" s="123"/>
      <c r="AW186" s="123"/>
      <c r="AX186" s="123"/>
      <c r="AY186" s="123"/>
      <c r="AZ186" s="123"/>
      <c r="BA186" s="123"/>
      <c r="BB186" s="123"/>
      <c r="BC186" s="123"/>
      <c r="BD186" s="123"/>
      <c r="BE186" s="123"/>
      <c r="BF186" s="123"/>
      <c r="BG186" s="106"/>
      <c r="BH186" s="106"/>
      <c r="BI186" s="106"/>
      <c r="BJ186" s="106"/>
      <c r="BK186" s="106"/>
      <c r="BL186" s="106"/>
      <c r="BM186" s="106"/>
      <c r="BN186" s="106"/>
      <c r="BQ186" s="29"/>
      <c r="BR186" s="107"/>
      <c r="BS186" s="106"/>
    </row>
    <row r="187" spans="1:71" x14ac:dyDescent="0.35">
      <c r="A187" s="499"/>
      <c r="B187" s="470"/>
      <c r="C187" s="129" t="s">
        <v>74</v>
      </c>
      <c r="D187" s="129" t="s">
        <v>76</v>
      </c>
      <c r="E187" s="187">
        <f>E185</f>
        <v>0</v>
      </c>
      <c r="F187" s="187">
        <f>E187*1.12</f>
        <v>0</v>
      </c>
      <c r="G187" s="494"/>
      <c r="H187" s="497"/>
      <c r="I187" s="191">
        <f>I186</f>
        <v>0</v>
      </c>
      <c r="J187" s="191">
        <f>J186</f>
        <v>0</v>
      </c>
      <c r="K187" s="485"/>
      <c r="L187" s="482"/>
      <c r="M187" s="459"/>
      <c r="N187" s="132">
        <f t="shared" si="109"/>
        <v>35159942.999999993</v>
      </c>
      <c r="O187" s="132">
        <f t="shared" si="109"/>
        <v>39379136.159999996</v>
      </c>
      <c r="P187" s="132">
        <f>Q187/1.12</f>
        <v>35159942.999999993</v>
      </c>
      <c r="Q187" s="132">
        <f>Q186</f>
        <v>39379136.159999996</v>
      </c>
      <c r="R187" s="454"/>
      <c r="S187" s="448"/>
      <c r="T187" s="131"/>
      <c r="U187" s="131"/>
      <c r="V187" s="131"/>
      <c r="W187" s="131">
        <f>W186</f>
        <v>13065.295982142856</v>
      </c>
      <c r="X187" s="247">
        <f>W187*1.12</f>
        <v>14633.1315</v>
      </c>
      <c r="Y187" s="248"/>
      <c r="Z187" s="131">
        <f t="shared" si="110"/>
        <v>13065.295982142856</v>
      </c>
      <c r="AA187" s="131">
        <f t="shared" si="110"/>
        <v>14633.1315</v>
      </c>
      <c r="AB187" s="131"/>
      <c r="AC187" s="131">
        <f>AC186</f>
        <v>0</v>
      </c>
      <c r="AD187" s="131">
        <f>AD186</f>
        <v>0</v>
      </c>
      <c r="AE187" s="131"/>
      <c r="AF187" s="131">
        <f>AF186</f>
        <v>0</v>
      </c>
      <c r="AG187" s="247">
        <f>AF187*1.12</f>
        <v>0</v>
      </c>
      <c r="AH187" s="248"/>
      <c r="AI187" s="130">
        <f>AI186</f>
        <v>0</v>
      </c>
      <c r="AJ187" s="130">
        <f>AJ186</f>
        <v>0</v>
      </c>
      <c r="AK187" s="130"/>
      <c r="AL187" s="133"/>
      <c r="AM187" s="134">
        <f>AF187</f>
        <v>0</v>
      </c>
      <c r="AN187" s="134"/>
      <c r="AO187" s="134"/>
      <c r="AP187" s="130">
        <f>AP186</f>
        <v>0</v>
      </c>
      <c r="AQ187" s="130">
        <f t="shared" si="111"/>
        <v>0</v>
      </c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31"/>
      <c r="BH187" s="31"/>
      <c r="BI187" s="31"/>
      <c r="BJ187" s="31"/>
      <c r="BK187" s="31"/>
      <c r="BL187" s="31"/>
      <c r="BM187" s="31"/>
      <c r="BN187" s="31"/>
      <c r="BQ187" s="27"/>
      <c r="BR187" s="28"/>
      <c r="BS187" s="31"/>
    </row>
    <row r="188" spans="1:71" s="227" customFormat="1" collapsed="1" x14ac:dyDescent="0.35">
      <c r="A188" s="499"/>
      <c r="B188" s="470"/>
      <c r="C188" s="217" t="s">
        <v>72</v>
      </c>
      <c r="D188" s="217" t="s">
        <v>73</v>
      </c>
      <c r="E188" s="218"/>
      <c r="F188" s="218"/>
      <c r="G188" s="494"/>
      <c r="H188" s="497"/>
      <c r="I188" s="219"/>
      <c r="J188" s="219"/>
      <c r="K188" s="463" t="s">
        <v>131</v>
      </c>
      <c r="L188" s="502" t="s">
        <v>132</v>
      </c>
      <c r="M188" s="459" t="s">
        <v>113</v>
      </c>
      <c r="N188" s="220">
        <f t="shared" si="109"/>
        <v>5273991.6339285709</v>
      </c>
      <c r="O188" s="220">
        <f t="shared" si="109"/>
        <v>5906870.6299999999</v>
      </c>
      <c r="P188" s="220">
        <f>Q188/1.12</f>
        <v>5273991.6339285709</v>
      </c>
      <c r="Q188" s="220">
        <v>5906870.6299999999</v>
      </c>
      <c r="R188" s="454" t="s">
        <v>144</v>
      </c>
      <c r="S188" s="448">
        <v>3</v>
      </c>
      <c r="T188" s="221"/>
      <c r="U188" s="221"/>
      <c r="V188" s="221"/>
      <c r="W188" s="221">
        <f>5255</f>
        <v>5255</v>
      </c>
      <c r="X188" s="222">
        <f>W188*1.12</f>
        <v>5885.6</v>
      </c>
      <c r="Y188" s="221">
        <f>3</f>
        <v>3</v>
      </c>
      <c r="Z188" s="221">
        <f t="shared" si="110"/>
        <v>5255</v>
      </c>
      <c r="AA188" s="221">
        <f t="shared" si="110"/>
        <v>5885.6</v>
      </c>
      <c r="AB188" s="221">
        <f t="shared" si="110"/>
        <v>3</v>
      </c>
      <c r="AC188" s="221"/>
      <c r="AD188" s="221"/>
      <c r="AE188" s="221"/>
      <c r="AF188" s="221"/>
      <c r="AG188" s="222">
        <f>AF188*1.12</f>
        <v>0</v>
      </c>
      <c r="AH188" s="221"/>
      <c r="AI188" s="222"/>
      <c r="AJ188" s="222">
        <f>AI188*1.12</f>
        <v>0</v>
      </c>
      <c r="AK188" s="222">
        <f>AH188-AE188</f>
        <v>0</v>
      </c>
      <c r="AL188" s="223" t="str">
        <f t="shared" ref="AL188:AL204" si="112">IF(AC188=0,"",AF188/AC188)</f>
        <v/>
      </c>
      <c r="AM188" s="224"/>
      <c r="AN188" s="224"/>
      <c r="AO188" s="224"/>
      <c r="AP188" s="222"/>
      <c r="AQ188" s="222">
        <f t="shared" si="111"/>
        <v>0</v>
      </c>
      <c r="AR188" s="222">
        <f>S188</f>
        <v>3</v>
      </c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49"/>
      <c r="BH188" s="249"/>
      <c r="BI188" s="249"/>
      <c r="BJ188" s="249"/>
      <c r="BK188" s="249"/>
      <c r="BL188" s="249"/>
      <c r="BM188" s="249"/>
      <c r="BN188" s="249"/>
      <c r="BQ188" s="228"/>
      <c r="BR188" s="229"/>
      <c r="BS188" s="226"/>
    </row>
    <row r="189" spans="1:71" s="103" customFormat="1" x14ac:dyDescent="0.35">
      <c r="A189" s="499"/>
      <c r="B189" s="470"/>
      <c r="C189" s="122" t="s">
        <v>74</v>
      </c>
      <c r="D189" s="122" t="s">
        <v>75</v>
      </c>
      <c r="E189" s="185"/>
      <c r="F189" s="185"/>
      <c r="G189" s="494"/>
      <c r="H189" s="497"/>
      <c r="I189" s="189"/>
      <c r="J189" s="189"/>
      <c r="K189" s="463"/>
      <c r="L189" s="502"/>
      <c r="M189" s="459"/>
      <c r="N189" s="125">
        <f t="shared" si="109"/>
        <v>5273991.6339285709</v>
      </c>
      <c r="O189" s="125">
        <f t="shared" si="109"/>
        <v>5906870.6299999999</v>
      </c>
      <c r="P189" s="125">
        <f t="shared" ref="P189:P202" si="113">Q189/1.12</f>
        <v>5273991.6339285709</v>
      </c>
      <c r="Q189" s="125">
        <f>Q188</f>
        <v>5906870.6299999999</v>
      </c>
      <c r="R189" s="454"/>
      <c r="S189" s="448"/>
      <c r="T189" s="124"/>
      <c r="U189" s="124"/>
      <c r="V189" s="124"/>
      <c r="W189" s="189">
        <f>5771.78784/1.12</f>
        <v>5153.3819999999996</v>
      </c>
      <c r="X189" s="185">
        <f>W189*1.12</f>
        <v>5771.78784</v>
      </c>
      <c r="Y189" s="124"/>
      <c r="Z189" s="124">
        <f t="shared" si="110"/>
        <v>5153.3819999999996</v>
      </c>
      <c r="AA189" s="124">
        <f t="shared" si="110"/>
        <v>5771.78784</v>
      </c>
      <c r="AB189" s="124"/>
      <c r="AC189" s="124"/>
      <c r="AD189" s="124">
        <f>AC189*1.12</f>
        <v>0</v>
      </c>
      <c r="AE189" s="124"/>
      <c r="AF189" s="189"/>
      <c r="AG189" s="185">
        <f>AF189*1.12</f>
        <v>0</v>
      </c>
      <c r="AH189" s="124"/>
      <c r="AI189" s="123"/>
      <c r="AJ189" s="123">
        <f>AI189*1.12</f>
        <v>0</v>
      </c>
      <c r="AK189" s="123"/>
      <c r="AL189" s="126" t="str">
        <f t="shared" si="112"/>
        <v/>
      </c>
      <c r="AM189" s="127">
        <f>AF189</f>
        <v>0</v>
      </c>
      <c r="AN189" s="127"/>
      <c r="AO189" s="127"/>
      <c r="AP189" s="123"/>
      <c r="AQ189" s="123">
        <f t="shared" si="111"/>
        <v>0</v>
      </c>
      <c r="AR189" s="123"/>
      <c r="AS189" s="123"/>
      <c r="AT189" s="123"/>
      <c r="AU189" s="123"/>
      <c r="AV189" s="123"/>
      <c r="AW189" s="123"/>
      <c r="AX189" s="123"/>
      <c r="AY189" s="123"/>
      <c r="AZ189" s="123"/>
      <c r="BA189" s="123"/>
      <c r="BB189" s="123"/>
      <c r="BC189" s="123"/>
      <c r="BD189" s="123"/>
      <c r="BE189" s="123"/>
      <c r="BF189" s="123"/>
      <c r="BG189" s="128"/>
      <c r="BH189" s="128"/>
      <c r="BI189" s="128"/>
      <c r="BJ189" s="128"/>
      <c r="BK189" s="128"/>
      <c r="BL189" s="128"/>
      <c r="BM189" s="128"/>
      <c r="BN189" s="128"/>
      <c r="BQ189" s="29"/>
      <c r="BR189" s="107"/>
      <c r="BS189" s="106"/>
    </row>
    <row r="190" spans="1:71" x14ac:dyDescent="0.35">
      <c r="A190" s="499"/>
      <c r="B190" s="470"/>
      <c r="C190" s="129" t="s">
        <v>74</v>
      </c>
      <c r="D190" s="129" t="s">
        <v>76</v>
      </c>
      <c r="E190" s="187"/>
      <c r="F190" s="187"/>
      <c r="G190" s="494"/>
      <c r="H190" s="497"/>
      <c r="I190" s="191"/>
      <c r="J190" s="191"/>
      <c r="K190" s="463"/>
      <c r="L190" s="502"/>
      <c r="M190" s="459"/>
      <c r="N190" s="132">
        <f t="shared" si="109"/>
        <v>5273991.6339285709</v>
      </c>
      <c r="O190" s="132">
        <f t="shared" si="109"/>
        <v>5906870.6299999999</v>
      </c>
      <c r="P190" s="132">
        <f t="shared" si="113"/>
        <v>5273991.6339285709</v>
      </c>
      <c r="Q190" s="132">
        <f>Q188</f>
        <v>5906870.6299999999</v>
      </c>
      <c r="R190" s="454"/>
      <c r="S190" s="448"/>
      <c r="T190" s="131"/>
      <c r="U190" s="131"/>
      <c r="V190" s="131"/>
      <c r="W190" s="131">
        <f>W189</f>
        <v>5153.3819999999996</v>
      </c>
      <c r="X190" s="130">
        <f>X189</f>
        <v>5771.78784</v>
      </c>
      <c r="Y190" s="131"/>
      <c r="Z190" s="131">
        <f t="shared" si="110"/>
        <v>5153.3819999999996</v>
      </c>
      <c r="AA190" s="131">
        <f t="shared" si="110"/>
        <v>5771.78784</v>
      </c>
      <c r="AB190" s="131"/>
      <c r="AC190" s="131">
        <f>AC189</f>
        <v>0</v>
      </c>
      <c r="AD190" s="131">
        <f>AD189</f>
        <v>0</v>
      </c>
      <c r="AE190" s="131"/>
      <c r="AF190" s="131">
        <f>AF189</f>
        <v>0</v>
      </c>
      <c r="AG190" s="130">
        <f>AG189</f>
        <v>0</v>
      </c>
      <c r="AH190" s="131"/>
      <c r="AI190" s="130">
        <f>AI189</f>
        <v>0</v>
      </c>
      <c r="AJ190" s="130">
        <f>AJ189</f>
        <v>0</v>
      </c>
      <c r="AK190" s="130"/>
      <c r="AL190" s="133" t="str">
        <f t="shared" si="112"/>
        <v/>
      </c>
      <c r="AM190" s="134">
        <f>AF190</f>
        <v>0</v>
      </c>
      <c r="AN190" s="134"/>
      <c r="AO190" s="134"/>
      <c r="AP190" s="130">
        <f>AP189</f>
        <v>0</v>
      </c>
      <c r="AQ190" s="130">
        <f t="shared" si="111"/>
        <v>0</v>
      </c>
      <c r="AR190" s="130"/>
      <c r="AS190" s="123"/>
      <c r="AT190" s="123"/>
      <c r="AU190" s="123"/>
      <c r="AV190" s="123"/>
      <c r="AW190" s="123"/>
      <c r="AX190" s="123"/>
      <c r="AY190" s="123"/>
      <c r="AZ190" s="123"/>
      <c r="BA190" s="123"/>
      <c r="BB190" s="123"/>
      <c r="BC190" s="123"/>
      <c r="BD190" s="123"/>
      <c r="BE190" s="123"/>
      <c r="BF190" s="123"/>
      <c r="BG190" s="128"/>
      <c r="BH190" s="128"/>
      <c r="BI190" s="128"/>
      <c r="BJ190" s="128"/>
      <c r="BK190" s="128"/>
      <c r="BL190" s="128"/>
      <c r="BM190" s="128"/>
      <c r="BN190" s="128"/>
      <c r="BQ190" s="27"/>
      <c r="BR190" s="28"/>
      <c r="BS190" s="31"/>
    </row>
    <row r="191" spans="1:71" s="227" customFormat="1" x14ac:dyDescent="0.35">
      <c r="A191" s="499"/>
      <c r="B191" s="470"/>
      <c r="C191" s="217" t="s">
        <v>72</v>
      </c>
      <c r="D191" s="217" t="s">
        <v>73</v>
      </c>
      <c r="E191" s="218">
        <v>145049</v>
      </c>
      <c r="F191" s="218">
        <f>E191*1.12</f>
        <v>162454.88</v>
      </c>
      <c r="G191" s="494"/>
      <c r="H191" s="497"/>
      <c r="I191" s="219"/>
      <c r="J191" s="219"/>
      <c r="K191" s="463" t="s">
        <v>133</v>
      </c>
      <c r="L191" s="501" t="s">
        <v>134</v>
      </c>
      <c r="M191" s="459" t="s">
        <v>113</v>
      </c>
      <c r="N191" s="220">
        <f t="shared" si="109"/>
        <v>50981918.4375</v>
      </c>
      <c r="O191" s="220">
        <f t="shared" si="109"/>
        <v>57099748.650000006</v>
      </c>
      <c r="P191" s="220">
        <f t="shared" si="113"/>
        <v>50981918.4375</v>
      </c>
      <c r="Q191" s="220">
        <f>17720611.69+39379136.96</f>
        <v>57099748.650000006</v>
      </c>
      <c r="R191" s="454" t="s">
        <v>144</v>
      </c>
      <c r="S191" s="448">
        <f>9+20</f>
        <v>29</v>
      </c>
      <c r="T191" s="221"/>
      <c r="U191" s="221"/>
      <c r="V191" s="221"/>
      <c r="W191" s="221">
        <f>25189+11715</f>
        <v>36904</v>
      </c>
      <c r="X191" s="222">
        <f>W191*1.12</f>
        <v>41332.480000000003</v>
      </c>
      <c r="Y191" s="221">
        <f>3+9+6+3+6+1+1</f>
        <v>29</v>
      </c>
      <c r="Z191" s="221">
        <f t="shared" si="110"/>
        <v>36904</v>
      </c>
      <c r="AA191" s="221">
        <f t="shared" si="110"/>
        <v>41332.480000000003</v>
      </c>
      <c r="AB191" s="221">
        <f t="shared" si="110"/>
        <v>29</v>
      </c>
      <c r="AC191" s="221"/>
      <c r="AD191" s="221"/>
      <c r="AE191" s="221"/>
      <c r="AF191" s="221"/>
      <c r="AG191" s="222">
        <f>AF191*1.12</f>
        <v>0</v>
      </c>
      <c r="AH191" s="221"/>
      <c r="AI191" s="222"/>
      <c r="AJ191" s="222">
        <f>AI191*1.12</f>
        <v>0</v>
      </c>
      <c r="AK191" s="222">
        <f>AH191-AE191</f>
        <v>0</v>
      </c>
      <c r="AL191" s="223" t="str">
        <f t="shared" si="112"/>
        <v/>
      </c>
      <c r="AM191" s="224"/>
      <c r="AN191" s="224"/>
      <c r="AO191" s="224"/>
      <c r="AP191" s="222">
        <f>E185-AP185-AP188</f>
        <v>0</v>
      </c>
      <c r="AQ191" s="222">
        <f t="shared" si="111"/>
        <v>0</v>
      </c>
      <c r="AR191" s="222">
        <f>H185-AR185-AR188</f>
        <v>-23</v>
      </c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5"/>
      <c r="BG191" s="231"/>
      <c r="BH191" s="231"/>
      <c r="BI191" s="226"/>
      <c r="BJ191" s="226"/>
      <c r="BK191" s="226"/>
      <c r="BL191" s="231"/>
      <c r="BM191" s="231"/>
      <c r="BN191" s="226"/>
      <c r="BQ191" s="228"/>
      <c r="BR191" s="229"/>
      <c r="BS191" s="226"/>
    </row>
    <row r="192" spans="1:71" s="103" customFormat="1" x14ac:dyDescent="0.35">
      <c r="A192" s="499"/>
      <c r="B192" s="470"/>
      <c r="C192" s="122" t="s">
        <v>74</v>
      </c>
      <c r="D192" s="122" t="s">
        <v>75</v>
      </c>
      <c r="E192" s="185">
        <f>E193</f>
        <v>145049</v>
      </c>
      <c r="F192" s="185">
        <f>E192*1.12</f>
        <v>162454.88</v>
      </c>
      <c r="G192" s="494"/>
      <c r="H192" s="497"/>
      <c r="I192" s="189">
        <v>1075.8928571428571</v>
      </c>
      <c r="J192" s="189">
        <f>I192*1.12</f>
        <v>1205</v>
      </c>
      <c r="K192" s="463"/>
      <c r="L192" s="501"/>
      <c r="M192" s="459"/>
      <c r="N192" s="125">
        <f t="shared" si="109"/>
        <v>50981918.4375</v>
      </c>
      <c r="O192" s="125">
        <f t="shared" si="109"/>
        <v>57099748.650000006</v>
      </c>
      <c r="P192" s="125">
        <f t="shared" si="113"/>
        <v>50981918.4375</v>
      </c>
      <c r="Q192" s="125">
        <f>Q191</f>
        <v>57099748.650000006</v>
      </c>
      <c r="R192" s="454"/>
      <c r="S192" s="448"/>
      <c r="T192" s="124"/>
      <c r="U192" s="124"/>
      <c r="V192" s="124"/>
      <c r="W192" s="124">
        <f>16161.39491/1.12+7366.70021/1.12+3237.12984/1.12+6728.54811/1.12+1254.43392/1.12</f>
        <v>31025.184812499996</v>
      </c>
      <c r="X192" s="123">
        <f>W192*1.12</f>
        <v>34748.206989999999</v>
      </c>
      <c r="Y192" s="124"/>
      <c r="Z192" s="124">
        <f t="shared" si="110"/>
        <v>31025.184812499996</v>
      </c>
      <c r="AA192" s="124">
        <f t="shared" si="110"/>
        <v>34748.206989999999</v>
      </c>
      <c r="AB192" s="124"/>
      <c r="AC192" s="124">
        <v>1075.8928571428571</v>
      </c>
      <c r="AD192" s="124">
        <f>AC192*1.12</f>
        <v>1205</v>
      </c>
      <c r="AE192" s="124"/>
      <c r="AF192" s="124">
        <f>1204.58314/1.12</f>
        <v>1075.5206607142857</v>
      </c>
      <c r="AG192" s="123">
        <f>AF192*1.12</f>
        <v>1204.58314</v>
      </c>
      <c r="AH192" s="124"/>
      <c r="AI192" s="123"/>
      <c r="AJ192" s="123">
        <f>AI192*1.12</f>
        <v>0</v>
      </c>
      <c r="AK192" s="123"/>
      <c r="AL192" s="126">
        <f t="shared" si="112"/>
        <v>0.99965405809128627</v>
      </c>
      <c r="AM192" s="127">
        <f>AF192</f>
        <v>1075.5206607142857</v>
      </c>
      <c r="AN192" s="127"/>
      <c r="AO192" s="127"/>
      <c r="AP192" s="123">
        <f>I192</f>
        <v>1075.8928571428571</v>
      </c>
      <c r="AQ192" s="123">
        <f t="shared" si="111"/>
        <v>1205</v>
      </c>
      <c r="AR192" s="123"/>
      <c r="AS192" s="123"/>
      <c r="AT192" s="123"/>
      <c r="AU192" s="123"/>
      <c r="AV192" s="123"/>
      <c r="AW192" s="123"/>
      <c r="AX192" s="123"/>
      <c r="AY192" s="123"/>
      <c r="AZ192" s="123"/>
      <c r="BA192" s="123"/>
      <c r="BB192" s="123"/>
      <c r="BC192" s="123"/>
      <c r="BD192" s="123"/>
      <c r="BE192" s="123"/>
      <c r="BF192" s="123"/>
      <c r="BG192" s="232"/>
      <c r="BH192" s="232"/>
      <c r="BI192" s="106"/>
      <c r="BJ192" s="106"/>
      <c r="BK192" s="106"/>
      <c r="BL192" s="232"/>
      <c r="BM192" s="232"/>
      <c r="BN192" s="106"/>
      <c r="BQ192" s="29"/>
      <c r="BR192" s="107"/>
      <c r="BS192" s="106"/>
    </row>
    <row r="193" spans="1:71" x14ac:dyDescent="0.35">
      <c r="A193" s="499"/>
      <c r="B193" s="470"/>
      <c r="C193" s="129" t="s">
        <v>74</v>
      </c>
      <c r="D193" s="129" t="s">
        <v>76</v>
      </c>
      <c r="E193" s="187">
        <f>E191</f>
        <v>145049</v>
      </c>
      <c r="F193" s="187">
        <f>E193*1.12</f>
        <v>162454.88</v>
      </c>
      <c r="G193" s="494"/>
      <c r="H193" s="497"/>
      <c r="I193" s="191">
        <f>I192</f>
        <v>1075.8928571428571</v>
      </c>
      <c r="J193" s="191">
        <f>J192</f>
        <v>1205</v>
      </c>
      <c r="K193" s="463"/>
      <c r="L193" s="501"/>
      <c r="M193" s="459"/>
      <c r="N193" s="132">
        <f t="shared" si="109"/>
        <v>50981918.4375</v>
      </c>
      <c r="O193" s="132">
        <f t="shared" si="109"/>
        <v>57099748.650000006</v>
      </c>
      <c r="P193" s="132">
        <f t="shared" si="113"/>
        <v>50981918.4375</v>
      </c>
      <c r="Q193" s="132">
        <f>Q192</f>
        <v>57099748.650000006</v>
      </c>
      <c r="R193" s="454"/>
      <c r="S193" s="448"/>
      <c r="T193" s="131"/>
      <c r="U193" s="131"/>
      <c r="V193" s="131"/>
      <c r="W193" s="131">
        <f>W192</f>
        <v>31025.184812499996</v>
      </c>
      <c r="X193" s="130">
        <f>X192</f>
        <v>34748.206989999999</v>
      </c>
      <c r="Y193" s="131"/>
      <c r="Z193" s="131">
        <f t="shared" si="110"/>
        <v>31025.184812499996</v>
      </c>
      <c r="AA193" s="131">
        <f t="shared" si="110"/>
        <v>34748.206989999999</v>
      </c>
      <c r="AB193" s="131"/>
      <c r="AC193" s="131">
        <f>AC192</f>
        <v>1075.8928571428571</v>
      </c>
      <c r="AD193" s="131">
        <f>AD192</f>
        <v>1205</v>
      </c>
      <c r="AE193" s="131"/>
      <c r="AF193" s="131">
        <f>AF192</f>
        <v>1075.5206607142857</v>
      </c>
      <c r="AG193" s="130">
        <f>AG192</f>
        <v>1204.58314</v>
      </c>
      <c r="AH193" s="131"/>
      <c r="AI193" s="130">
        <f>AI192</f>
        <v>0</v>
      </c>
      <c r="AJ193" s="130">
        <f>AJ192</f>
        <v>0</v>
      </c>
      <c r="AK193" s="130"/>
      <c r="AL193" s="133">
        <f t="shared" si="112"/>
        <v>0.99965405809128627</v>
      </c>
      <c r="AM193" s="134">
        <f>AF193</f>
        <v>1075.5206607142857</v>
      </c>
      <c r="AN193" s="134"/>
      <c r="AO193" s="134"/>
      <c r="AP193" s="130">
        <f>AP192</f>
        <v>1075.8928571428571</v>
      </c>
      <c r="AQ193" s="130">
        <f t="shared" si="111"/>
        <v>1205</v>
      </c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233"/>
      <c r="BH193" s="233"/>
      <c r="BI193" s="31"/>
      <c r="BJ193" s="31"/>
      <c r="BK193" s="31"/>
      <c r="BL193" s="233"/>
      <c r="BM193" s="233"/>
      <c r="BN193" s="31"/>
      <c r="BQ193" s="27"/>
      <c r="BR193" s="28"/>
      <c r="BS193" s="31"/>
    </row>
    <row r="194" spans="1:71" s="227" customFormat="1" x14ac:dyDescent="0.35">
      <c r="A194" s="499"/>
      <c r="B194" s="470"/>
      <c r="C194" s="217" t="s">
        <v>72</v>
      </c>
      <c r="D194" s="217" t="s">
        <v>73</v>
      </c>
      <c r="E194" s="218"/>
      <c r="F194" s="218"/>
      <c r="G194" s="494"/>
      <c r="H194" s="497"/>
      <c r="I194" s="219"/>
      <c r="J194" s="219"/>
      <c r="K194" s="483" t="s">
        <v>135</v>
      </c>
      <c r="L194" s="480" t="s">
        <v>136</v>
      </c>
      <c r="M194" s="467" t="s">
        <v>113</v>
      </c>
      <c r="N194" s="220">
        <f t="shared" si="109"/>
        <v>5273991.6339285709</v>
      </c>
      <c r="O194" s="220">
        <f t="shared" si="109"/>
        <v>5906870.6299999999</v>
      </c>
      <c r="P194" s="220">
        <f t="shared" si="113"/>
        <v>5273991.6339285709</v>
      </c>
      <c r="Q194" s="220">
        <v>5906870.6299999999</v>
      </c>
      <c r="R194" s="454" t="s">
        <v>144</v>
      </c>
      <c r="S194" s="448">
        <v>3</v>
      </c>
      <c r="T194" s="221"/>
      <c r="U194" s="221"/>
      <c r="V194" s="221"/>
      <c r="W194" s="221">
        <f>4944-1</f>
        <v>4943</v>
      </c>
      <c r="X194" s="222">
        <f t="shared" ref="X194:X202" si="114">W194*1.12</f>
        <v>5536.1600000000008</v>
      </c>
      <c r="Y194" s="221">
        <f>3</f>
        <v>3</v>
      </c>
      <c r="Z194" s="221">
        <f t="shared" si="110"/>
        <v>4943</v>
      </c>
      <c r="AA194" s="221">
        <f t="shared" si="110"/>
        <v>5536.1600000000008</v>
      </c>
      <c r="AB194" s="221">
        <f t="shared" si="110"/>
        <v>3</v>
      </c>
      <c r="AC194" s="221"/>
      <c r="AD194" s="221"/>
      <c r="AE194" s="221"/>
      <c r="AF194" s="221"/>
      <c r="AG194" s="222">
        <f t="shared" ref="AG194:AG202" si="115">AF194*1.12</f>
        <v>0</v>
      </c>
      <c r="AH194" s="221"/>
      <c r="AI194" s="222"/>
      <c r="AJ194" s="222">
        <f>AI194*1.12</f>
        <v>0</v>
      </c>
      <c r="AK194" s="222">
        <f>AH194-AE194</f>
        <v>0</v>
      </c>
      <c r="AL194" s="223" t="str">
        <f t="shared" si="112"/>
        <v/>
      </c>
      <c r="AM194" s="224"/>
      <c r="AN194" s="224"/>
      <c r="AO194" s="224"/>
      <c r="AP194" s="222"/>
      <c r="AQ194" s="222">
        <f t="shared" si="111"/>
        <v>0</v>
      </c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6"/>
      <c r="BH194" s="226"/>
      <c r="BI194" s="226"/>
      <c r="BJ194" s="226"/>
      <c r="BK194" s="226"/>
      <c r="BL194" s="226"/>
      <c r="BM194" s="226"/>
      <c r="BN194" s="226"/>
      <c r="BQ194" s="228"/>
      <c r="BR194" s="229"/>
      <c r="BS194" s="226"/>
    </row>
    <row r="195" spans="1:71" s="103" customFormat="1" x14ac:dyDescent="0.35">
      <c r="A195" s="499"/>
      <c r="B195" s="470"/>
      <c r="C195" s="122" t="s">
        <v>74</v>
      </c>
      <c r="D195" s="122" t="s">
        <v>75</v>
      </c>
      <c r="E195" s="185"/>
      <c r="F195" s="185"/>
      <c r="G195" s="494"/>
      <c r="H195" s="497"/>
      <c r="I195" s="189"/>
      <c r="J195" s="189"/>
      <c r="K195" s="484"/>
      <c r="L195" s="481"/>
      <c r="M195" s="468"/>
      <c r="N195" s="125">
        <f t="shared" si="109"/>
        <v>5273991.6339285709</v>
      </c>
      <c r="O195" s="125">
        <f t="shared" si="109"/>
        <v>5906870.6299999999</v>
      </c>
      <c r="P195" s="125">
        <f t="shared" si="113"/>
        <v>5273991.6339285709</v>
      </c>
      <c r="Q195" s="125">
        <f>Q194</f>
        <v>5906870.6299999999</v>
      </c>
      <c r="R195" s="454"/>
      <c r="S195" s="448"/>
      <c r="T195" s="124"/>
      <c r="U195" s="124"/>
      <c r="V195" s="124"/>
      <c r="W195" s="124">
        <f>4991.55471/1.12</f>
        <v>4456.7452767857139</v>
      </c>
      <c r="X195" s="123">
        <f t="shared" si="114"/>
        <v>4991.5547100000003</v>
      </c>
      <c r="Y195" s="124"/>
      <c r="Z195" s="124">
        <f t="shared" si="110"/>
        <v>4456.7452767857139</v>
      </c>
      <c r="AA195" s="124">
        <f t="shared" si="110"/>
        <v>4991.5547100000003</v>
      </c>
      <c r="AB195" s="124"/>
      <c r="AC195" s="124"/>
      <c r="AD195" s="124">
        <f>AC195*1.12</f>
        <v>0</v>
      </c>
      <c r="AE195" s="124"/>
      <c r="AF195" s="124"/>
      <c r="AG195" s="123">
        <f t="shared" si="115"/>
        <v>0</v>
      </c>
      <c r="AH195" s="124"/>
      <c r="AI195" s="123"/>
      <c r="AJ195" s="123">
        <f>AI195*1.12</f>
        <v>0</v>
      </c>
      <c r="AK195" s="123"/>
      <c r="AL195" s="126" t="str">
        <f t="shared" si="112"/>
        <v/>
      </c>
      <c r="AM195" s="127">
        <f>AF195</f>
        <v>0</v>
      </c>
      <c r="AN195" s="127"/>
      <c r="AO195" s="127"/>
      <c r="AP195" s="123">
        <f>AF195</f>
        <v>0</v>
      </c>
      <c r="AQ195" s="123">
        <f t="shared" si="111"/>
        <v>0</v>
      </c>
      <c r="AR195" s="123"/>
      <c r="AS195" s="123"/>
      <c r="AT195" s="123"/>
      <c r="AU195" s="123"/>
      <c r="AV195" s="123"/>
      <c r="AW195" s="123"/>
      <c r="AX195" s="123"/>
      <c r="AY195" s="123"/>
      <c r="AZ195" s="123"/>
      <c r="BA195" s="123"/>
      <c r="BB195" s="123"/>
      <c r="BC195" s="123"/>
      <c r="BD195" s="123"/>
      <c r="BE195" s="123"/>
      <c r="BF195" s="123"/>
      <c r="BG195" s="106"/>
      <c r="BH195" s="106"/>
      <c r="BI195" s="106"/>
      <c r="BJ195" s="106"/>
      <c r="BK195" s="106"/>
      <c r="BL195" s="106"/>
      <c r="BM195" s="106"/>
      <c r="BN195" s="106"/>
      <c r="BQ195" s="29"/>
      <c r="BR195" s="107"/>
      <c r="BS195" s="106"/>
    </row>
    <row r="196" spans="1:71" x14ac:dyDescent="0.35">
      <c r="A196" s="499"/>
      <c r="B196" s="470"/>
      <c r="C196" s="129" t="s">
        <v>74</v>
      </c>
      <c r="D196" s="129" t="s">
        <v>76</v>
      </c>
      <c r="E196" s="187"/>
      <c r="F196" s="187"/>
      <c r="G196" s="494"/>
      <c r="H196" s="497"/>
      <c r="I196" s="191"/>
      <c r="J196" s="191"/>
      <c r="K196" s="485"/>
      <c r="L196" s="482"/>
      <c r="M196" s="469"/>
      <c r="N196" s="132">
        <f t="shared" si="109"/>
        <v>5273991.6339285709</v>
      </c>
      <c r="O196" s="132">
        <f t="shared" si="109"/>
        <v>5906870.6299999999</v>
      </c>
      <c r="P196" s="132">
        <f t="shared" si="113"/>
        <v>5273991.6339285709</v>
      </c>
      <c r="Q196" s="250">
        <f>Q195</f>
        <v>5906870.6299999999</v>
      </c>
      <c r="R196" s="454"/>
      <c r="S196" s="448"/>
      <c r="T196" s="131"/>
      <c r="U196" s="131"/>
      <c r="V196" s="131"/>
      <c r="W196" s="131">
        <f>W195</f>
        <v>4456.7452767857139</v>
      </c>
      <c r="X196" s="130">
        <f t="shared" si="114"/>
        <v>4991.5547100000003</v>
      </c>
      <c r="Y196" s="131"/>
      <c r="Z196" s="131">
        <f t="shared" si="110"/>
        <v>4456.7452767857139</v>
      </c>
      <c r="AA196" s="131">
        <f t="shared" si="110"/>
        <v>4991.5547100000003</v>
      </c>
      <c r="AB196" s="131"/>
      <c r="AC196" s="131">
        <f>AC195</f>
        <v>0</v>
      </c>
      <c r="AD196" s="131">
        <f>AD195</f>
        <v>0</v>
      </c>
      <c r="AE196" s="131"/>
      <c r="AF196" s="131">
        <f>AF195</f>
        <v>0</v>
      </c>
      <c r="AG196" s="130">
        <f t="shared" si="115"/>
        <v>0</v>
      </c>
      <c r="AH196" s="131"/>
      <c r="AI196" s="130">
        <f>AI195</f>
        <v>0</v>
      </c>
      <c r="AJ196" s="130">
        <f>AJ195</f>
        <v>0</v>
      </c>
      <c r="AK196" s="130"/>
      <c r="AL196" s="133" t="str">
        <f t="shared" si="112"/>
        <v/>
      </c>
      <c r="AM196" s="134">
        <f>AF196</f>
        <v>0</v>
      </c>
      <c r="AN196" s="134"/>
      <c r="AO196" s="134"/>
      <c r="AP196" s="130">
        <f>AF196</f>
        <v>0</v>
      </c>
      <c r="AQ196" s="130">
        <f t="shared" si="111"/>
        <v>0</v>
      </c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31"/>
      <c r="BH196" s="31"/>
      <c r="BI196" s="31"/>
      <c r="BJ196" s="31"/>
      <c r="BK196" s="31"/>
      <c r="BL196" s="31"/>
      <c r="BM196" s="31"/>
      <c r="BN196" s="31"/>
      <c r="BQ196" s="27"/>
      <c r="BR196" s="28"/>
      <c r="BS196" s="31"/>
    </row>
    <row r="197" spans="1:71" s="227" customFormat="1" x14ac:dyDescent="0.35">
      <c r="A197" s="499"/>
      <c r="B197" s="470"/>
      <c r="C197" s="217" t="s">
        <v>72</v>
      </c>
      <c r="D197" s="217" t="s">
        <v>73</v>
      </c>
      <c r="E197" s="218"/>
      <c r="F197" s="218"/>
      <c r="G197" s="494"/>
      <c r="H197" s="497"/>
      <c r="I197" s="219"/>
      <c r="J197" s="219"/>
      <c r="K197" s="463" t="s">
        <v>137</v>
      </c>
      <c r="L197" s="507" t="s">
        <v>138</v>
      </c>
      <c r="M197" s="459" t="s">
        <v>113</v>
      </c>
      <c r="N197" s="220">
        <f t="shared" si="109"/>
        <v>19337969</v>
      </c>
      <c r="O197" s="220">
        <f t="shared" si="109"/>
        <v>21658525.280000001</v>
      </c>
      <c r="P197" s="220">
        <f t="shared" si="113"/>
        <v>19337969</v>
      </c>
      <c r="Q197" s="220">
        <v>21658525.280000001</v>
      </c>
      <c r="R197" s="454" t="s">
        <v>144</v>
      </c>
      <c r="S197" s="448">
        <v>11</v>
      </c>
      <c r="T197" s="221"/>
      <c r="U197" s="221"/>
      <c r="V197" s="221"/>
      <c r="W197" s="221">
        <f>4245+3793+8037-1-4455</f>
        <v>11619</v>
      </c>
      <c r="X197" s="222">
        <f t="shared" si="114"/>
        <v>13013.28</v>
      </c>
      <c r="Y197" s="221">
        <f>3+4+4</f>
        <v>11</v>
      </c>
      <c r="Z197" s="221">
        <f t="shared" si="110"/>
        <v>11619</v>
      </c>
      <c r="AA197" s="221">
        <f t="shared" si="110"/>
        <v>13013.28</v>
      </c>
      <c r="AB197" s="221">
        <f t="shared" si="110"/>
        <v>11</v>
      </c>
      <c r="AC197" s="221"/>
      <c r="AD197" s="221"/>
      <c r="AE197" s="221"/>
      <c r="AF197" s="221"/>
      <c r="AG197" s="222">
        <f t="shared" si="115"/>
        <v>0</v>
      </c>
      <c r="AH197" s="221"/>
      <c r="AI197" s="222"/>
      <c r="AJ197" s="222">
        <f>AI197*1.12</f>
        <v>0</v>
      </c>
      <c r="AK197" s="222">
        <f>AH197-AE197</f>
        <v>0</v>
      </c>
      <c r="AL197" s="223" t="str">
        <f t="shared" si="112"/>
        <v/>
      </c>
      <c r="AM197" s="224"/>
      <c r="AN197" s="224"/>
      <c r="AO197" s="224"/>
      <c r="AP197" s="222"/>
      <c r="AQ197" s="222">
        <f t="shared" si="111"/>
        <v>0</v>
      </c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6"/>
      <c r="BH197" s="226"/>
      <c r="BI197" s="226"/>
      <c r="BJ197" s="226"/>
      <c r="BK197" s="226"/>
      <c r="BL197" s="226"/>
      <c r="BM197" s="226"/>
      <c r="BN197" s="226"/>
      <c r="BQ197" s="228"/>
      <c r="BR197" s="229"/>
      <c r="BS197" s="226"/>
    </row>
    <row r="198" spans="1:71" s="103" customFormat="1" x14ac:dyDescent="0.35">
      <c r="A198" s="499"/>
      <c r="B198" s="470"/>
      <c r="C198" s="122" t="s">
        <v>74</v>
      </c>
      <c r="D198" s="122" t="s">
        <v>75</v>
      </c>
      <c r="E198" s="185"/>
      <c r="F198" s="185"/>
      <c r="G198" s="494"/>
      <c r="H198" s="497"/>
      <c r="I198" s="189"/>
      <c r="J198" s="189"/>
      <c r="K198" s="463"/>
      <c r="L198" s="508"/>
      <c r="M198" s="459"/>
      <c r="N198" s="125">
        <f t="shared" si="109"/>
        <v>19337969</v>
      </c>
      <c r="O198" s="125">
        <f t="shared" si="109"/>
        <v>21658525.280000001</v>
      </c>
      <c r="P198" s="125">
        <f t="shared" si="113"/>
        <v>19337969</v>
      </c>
      <c r="Q198" s="125">
        <f>Q197</f>
        <v>21658525.280000001</v>
      </c>
      <c r="R198" s="454"/>
      <c r="S198" s="448"/>
      <c r="T198" s="124"/>
      <c r="U198" s="124"/>
      <c r="V198" s="124"/>
      <c r="W198" s="124">
        <f>3586.99152/1.12+3446.28032/1.12+3372.66048/1.12</f>
        <v>9291.0109999999986</v>
      </c>
      <c r="X198" s="123">
        <f t="shared" si="114"/>
        <v>10405.93232</v>
      </c>
      <c r="Y198" s="124"/>
      <c r="Z198" s="124">
        <f t="shared" si="110"/>
        <v>9291.0109999999986</v>
      </c>
      <c r="AA198" s="124">
        <f t="shared" si="110"/>
        <v>10405.93232</v>
      </c>
      <c r="AB198" s="124"/>
      <c r="AC198" s="124"/>
      <c r="AD198" s="124">
        <f>AC198*1.12</f>
        <v>0</v>
      </c>
      <c r="AE198" s="124"/>
      <c r="AF198" s="124"/>
      <c r="AG198" s="123">
        <f t="shared" si="115"/>
        <v>0</v>
      </c>
      <c r="AH198" s="124"/>
      <c r="AI198" s="123"/>
      <c r="AJ198" s="123">
        <f>AI198*1.12</f>
        <v>0</v>
      </c>
      <c r="AK198" s="123"/>
      <c r="AL198" s="126" t="str">
        <f t="shared" si="112"/>
        <v/>
      </c>
      <c r="AM198" s="127">
        <f>AF198</f>
        <v>0</v>
      </c>
      <c r="AN198" s="127"/>
      <c r="AO198" s="127"/>
      <c r="AP198" s="123">
        <f>AF198</f>
        <v>0</v>
      </c>
      <c r="AQ198" s="123">
        <f t="shared" si="111"/>
        <v>0</v>
      </c>
      <c r="AR198" s="123"/>
      <c r="AS198" s="123"/>
      <c r="AT198" s="123"/>
      <c r="AU198" s="123"/>
      <c r="AV198" s="123"/>
      <c r="AW198" s="123"/>
      <c r="AX198" s="123"/>
      <c r="AY198" s="123"/>
      <c r="AZ198" s="123"/>
      <c r="BA198" s="123"/>
      <c r="BB198" s="123"/>
      <c r="BC198" s="123"/>
      <c r="BD198" s="123"/>
      <c r="BE198" s="123"/>
      <c r="BF198" s="123"/>
      <c r="BG198" s="106"/>
      <c r="BH198" s="106"/>
      <c r="BI198" s="106"/>
      <c r="BJ198" s="106"/>
      <c r="BK198" s="106"/>
      <c r="BL198" s="106"/>
      <c r="BM198" s="106"/>
      <c r="BN198" s="106"/>
      <c r="BQ198" s="29"/>
      <c r="BR198" s="107"/>
      <c r="BS198" s="106"/>
    </row>
    <row r="199" spans="1:71" x14ac:dyDescent="0.35">
      <c r="A199" s="499"/>
      <c r="B199" s="470"/>
      <c r="C199" s="129" t="s">
        <v>74</v>
      </c>
      <c r="D199" s="129" t="s">
        <v>76</v>
      </c>
      <c r="E199" s="187"/>
      <c r="F199" s="187"/>
      <c r="G199" s="494"/>
      <c r="H199" s="497"/>
      <c r="I199" s="191"/>
      <c r="J199" s="191"/>
      <c r="K199" s="463"/>
      <c r="L199" s="509"/>
      <c r="M199" s="459"/>
      <c r="N199" s="132">
        <f t="shared" si="109"/>
        <v>19337969</v>
      </c>
      <c r="O199" s="132">
        <f t="shared" si="109"/>
        <v>21658525.280000001</v>
      </c>
      <c r="P199" s="132">
        <f t="shared" si="113"/>
        <v>19337969</v>
      </c>
      <c r="Q199" s="132">
        <f>Q198</f>
        <v>21658525.280000001</v>
      </c>
      <c r="R199" s="454"/>
      <c r="S199" s="448"/>
      <c r="T199" s="131"/>
      <c r="U199" s="131"/>
      <c r="V199" s="131"/>
      <c r="W199" s="131">
        <f>W198</f>
        <v>9291.0109999999986</v>
      </c>
      <c r="X199" s="130">
        <f t="shared" si="114"/>
        <v>10405.93232</v>
      </c>
      <c r="Y199" s="131"/>
      <c r="Z199" s="131">
        <f t="shared" si="110"/>
        <v>9291.0109999999986</v>
      </c>
      <c r="AA199" s="131">
        <f t="shared" si="110"/>
        <v>10405.93232</v>
      </c>
      <c r="AB199" s="131"/>
      <c r="AC199" s="131">
        <f>AC198</f>
        <v>0</v>
      </c>
      <c r="AD199" s="131">
        <f>AD198</f>
        <v>0</v>
      </c>
      <c r="AE199" s="131"/>
      <c r="AF199" s="131">
        <f>AF198</f>
        <v>0</v>
      </c>
      <c r="AG199" s="130">
        <f t="shared" si="115"/>
        <v>0</v>
      </c>
      <c r="AH199" s="131"/>
      <c r="AI199" s="130">
        <f>AI198</f>
        <v>0</v>
      </c>
      <c r="AJ199" s="130">
        <f>AJ198</f>
        <v>0</v>
      </c>
      <c r="AK199" s="130"/>
      <c r="AL199" s="133" t="str">
        <f t="shared" si="112"/>
        <v/>
      </c>
      <c r="AM199" s="134">
        <f>AF199</f>
        <v>0</v>
      </c>
      <c r="AN199" s="134"/>
      <c r="AO199" s="134"/>
      <c r="AP199" s="130">
        <f>AF199</f>
        <v>0</v>
      </c>
      <c r="AQ199" s="130">
        <f t="shared" si="111"/>
        <v>0</v>
      </c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31"/>
      <c r="BH199" s="31"/>
      <c r="BI199" s="31"/>
      <c r="BJ199" s="31"/>
      <c r="BK199" s="31"/>
      <c r="BL199" s="31"/>
      <c r="BM199" s="31"/>
      <c r="BN199" s="31"/>
      <c r="BQ199" s="27"/>
      <c r="BR199" s="28"/>
      <c r="BS199" s="31"/>
    </row>
    <row r="200" spans="1:71" s="227" customFormat="1" ht="17.25" hidden="1" customHeight="1" outlineLevel="1" x14ac:dyDescent="0.35">
      <c r="A200" s="499"/>
      <c r="B200" s="470"/>
      <c r="C200" s="217" t="s">
        <v>72</v>
      </c>
      <c r="D200" s="217" t="s">
        <v>73</v>
      </c>
      <c r="E200" s="218"/>
      <c r="F200" s="218"/>
      <c r="G200" s="494"/>
      <c r="H200" s="497"/>
      <c r="I200" s="219"/>
      <c r="J200" s="219"/>
      <c r="K200" s="442"/>
      <c r="L200" s="454"/>
      <c r="M200" s="459" t="s">
        <v>113</v>
      </c>
      <c r="N200" s="220">
        <f t="shared" si="109"/>
        <v>0</v>
      </c>
      <c r="O200" s="220">
        <f t="shared" si="109"/>
        <v>0</v>
      </c>
      <c r="P200" s="220">
        <f t="shared" si="113"/>
        <v>0</v>
      </c>
      <c r="Q200" s="220"/>
      <c r="R200" s="454"/>
      <c r="S200" s="448"/>
      <c r="T200" s="221"/>
      <c r="U200" s="221"/>
      <c r="V200" s="221"/>
      <c r="W200" s="221"/>
      <c r="X200" s="222">
        <f t="shared" si="114"/>
        <v>0</v>
      </c>
      <c r="Y200" s="221"/>
      <c r="Z200" s="221">
        <f t="shared" si="110"/>
        <v>0</v>
      </c>
      <c r="AA200" s="221">
        <f t="shared" si="110"/>
        <v>0</v>
      </c>
      <c r="AB200" s="221">
        <f t="shared" si="110"/>
        <v>0</v>
      </c>
      <c r="AC200" s="221"/>
      <c r="AD200" s="221"/>
      <c r="AE200" s="221"/>
      <c r="AF200" s="221"/>
      <c r="AG200" s="222">
        <f t="shared" si="115"/>
        <v>0</v>
      </c>
      <c r="AH200" s="221"/>
      <c r="AI200" s="222">
        <f>AF200-AC200</f>
        <v>0</v>
      </c>
      <c r="AJ200" s="222">
        <f>AI200*1.12</f>
        <v>0</v>
      </c>
      <c r="AK200" s="222">
        <f>AH200-AE200</f>
        <v>0</v>
      </c>
      <c r="AL200" s="223" t="str">
        <f t="shared" si="112"/>
        <v/>
      </c>
      <c r="AM200" s="224"/>
      <c r="AN200" s="224"/>
      <c r="AO200" s="224"/>
      <c r="AP200" s="222"/>
      <c r="AQ200" s="222">
        <f t="shared" si="111"/>
        <v>0</v>
      </c>
      <c r="AR200" s="222"/>
      <c r="AS200" s="222"/>
      <c r="AT200" s="222"/>
      <c r="AU200" s="222"/>
      <c r="AV200" s="222"/>
      <c r="AW200" s="222"/>
      <c r="AX200" s="222"/>
      <c r="AY200" s="222"/>
      <c r="AZ200" s="225"/>
      <c r="BA200" s="222"/>
      <c r="BB200" s="222"/>
      <c r="BC200" s="222"/>
      <c r="BD200" s="222"/>
      <c r="BE200" s="222"/>
      <c r="BF200" s="222"/>
      <c r="BG200" s="226"/>
      <c r="BH200" s="226"/>
      <c r="BI200" s="226"/>
      <c r="BJ200" s="226"/>
      <c r="BK200" s="226"/>
      <c r="BL200" s="226"/>
      <c r="BM200" s="226"/>
      <c r="BN200" s="226"/>
      <c r="BQ200" s="228"/>
      <c r="BR200" s="229"/>
      <c r="BS200" s="226"/>
    </row>
    <row r="201" spans="1:71" s="103" customFormat="1" ht="17.25" hidden="1" customHeight="1" outlineLevel="1" x14ac:dyDescent="0.35">
      <c r="A201" s="499"/>
      <c r="B201" s="470"/>
      <c r="C201" s="122" t="s">
        <v>74</v>
      </c>
      <c r="D201" s="122" t="s">
        <v>75</v>
      </c>
      <c r="E201" s="185"/>
      <c r="F201" s="185"/>
      <c r="G201" s="494"/>
      <c r="H201" s="497"/>
      <c r="I201" s="189"/>
      <c r="J201" s="189"/>
      <c r="K201" s="503"/>
      <c r="L201" s="454"/>
      <c r="M201" s="459"/>
      <c r="N201" s="125">
        <f t="shared" si="109"/>
        <v>0</v>
      </c>
      <c r="O201" s="125">
        <f t="shared" si="109"/>
        <v>0</v>
      </c>
      <c r="P201" s="125">
        <f t="shared" si="113"/>
        <v>0</v>
      </c>
      <c r="Q201" s="125">
        <f>Q200</f>
        <v>0</v>
      </c>
      <c r="R201" s="454"/>
      <c r="S201" s="448"/>
      <c r="T201" s="124"/>
      <c r="U201" s="124"/>
      <c r="V201" s="124"/>
      <c r="W201" s="124"/>
      <c r="X201" s="123">
        <f t="shared" si="114"/>
        <v>0</v>
      </c>
      <c r="Y201" s="124"/>
      <c r="Z201" s="124">
        <f t="shared" si="110"/>
        <v>0</v>
      </c>
      <c r="AA201" s="124">
        <f t="shared" si="110"/>
        <v>0</v>
      </c>
      <c r="AB201" s="124"/>
      <c r="AC201" s="124"/>
      <c r="AD201" s="124"/>
      <c r="AE201" s="124"/>
      <c r="AF201" s="124"/>
      <c r="AG201" s="123">
        <f t="shared" si="115"/>
        <v>0</v>
      </c>
      <c r="AH201" s="124"/>
      <c r="AI201" s="123">
        <f>AF201-AC201</f>
        <v>0</v>
      </c>
      <c r="AJ201" s="123">
        <f>AI201*1.12</f>
        <v>0</v>
      </c>
      <c r="AK201" s="123"/>
      <c r="AL201" s="126" t="str">
        <f t="shared" si="112"/>
        <v/>
      </c>
      <c r="AM201" s="127"/>
      <c r="AN201" s="127">
        <f>AF201</f>
        <v>0</v>
      </c>
      <c r="AO201" s="127"/>
      <c r="AP201" s="123">
        <f>AF201</f>
        <v>0</v>
      </c>
      <c r="AQ201" s="123">
        <f t="shared" si="111"/>
        <v>0</v>
      </c>
      <c r="AR201" s="123"/>
      <c r="AS201" s="123"/>
      <c r="AT201" s="123"/>
      <c r="AU201" s="123"/>
      <c r="AV201" s="123"/>
      <c r="AW201" s="123"/>
      <c r="AX201" s="123"/>
      <c r="AY201" s="123"/>
      <c r="AZ201" s="123"/>
      <c r="BA201" s="123"/>
      <c r="BB201" s="123"/>
      <c r="BC201" s="123"/>
      <c r="BD201" s="123"/>
      <c r="BE201" s="123"/>
      <c r="BF201" s="123"/>
      <c r="BG201" s="106"/>
      <c r="BH201" s="106"/>
      <c r="BI201" s="106"/>
      <c r="BJ201" s="106"/>
      <c r="BK201" s="106"/>
      <c r="BL201" s="106"/>
      <c r="BM201" s="106"/>
      <c r="BN201" s="106"/>
      <c r="BQ201" s="29"/>
      <c r="BR201" s="107"/>
      <c r="BS201" s="106"/>
    </row>
    <row r="202" spans="1:71" ht="17.25" hidden="1" customHeight="1" outlineLevel="1" x14ac:dyDescent="0.35">
      <c r="A202" s="439"/>
      <c r="B202" s="437"/>
      <c r="C202" s="129" t="s">
        <v>74</v>
      </c>
      <c r="D202" s="129" t="s">
        <v>76</v>
      </c>
      <c r="E202" s="187"/>
      <c r="F202" s="187"/>
      <c r="G202" s="495"/>
      <c r="H202" s="498"/>
      <c r="I202" s="191"/>
      <c r="J202" s="191"/>
      <c r="K202" s="443"/>
      <c r="L202" s="454"/>
      <c r="M202" s="459"/>
      <c r="N202" s="132">
        <f t="shared" si="109"/>
        <v>0</v>
      </c>
      <c r="O202" s="132">
        <f t="shared" si="109"/>
        <v>0</v>
      </c>
      <c r="P202" s="132">
        <f t="shared" si="113"/>
        <v>0</v>
      </c>
      <c r="Q202" s="132">
        <f>Q201</f>
        <v>0</v>
      </c>
      <c r="R202" s="454"/>
      <c r="S202" s="448"/>
      <c r="T202" s="131"/>
      <c r="U202" s="131"/>
      <c r="V202" s="131"/>
      <c r="W202" s="131">
        <f>W201</f>
        <v>0</v>
      </c>
      <c r="X202" s="130">
        <f t="shared" si="114"/>
        <v>0</v>
      </c>
      <c r="Y202" s="131"/>
      <c r="Z202" s="131">
        <f t="shared" si="110"/>
        <v>0</v>
      </c>
      <c r="AA202" s="131">
        <f t="shared" si="110"/>
        <v>0</v>
      </c>
      <c r="AB202" s="131"/>
      <c r="AC202" s="131"/>
      <c r="AD202" s="131"/>
      <c r="AE202" s="131"/>
      <c r="AF202" s="131">
        <f>AF201</f>
        <v>0</v>
      </c>
      <c r="AG202" s="130">
        <f t="shared" si="115"/>
        <v>0</v>
      </c>
      <c r="AH202" s="131"/>
      <c r="AI202" s="130">
        <f>AI201</f>
        <v>0</v>
      </c>
      <c r="AJ202" s="130">
        <f>AJ201</f>
        <v>0</v>
      </c>
      <c r="AK202" s="130"/>
      <c r="AL202" s="133" t="str">
        <f t="shared" si="112"/>
        <v/>
      </c>
      <c r="AM202" s="134"/>
      <c r="AN202" s="134">
        <f>AF202</f>
        <v>0</v>
      </c>
      <c r="AO202" s="134"/>
      <c r="AP202" s="130">
        <f>AF202</f>
        <v>0</v>
      </c>
      <c r="AQ202" s="130">
        <f t="shared" si="111"/>
        <v>0</v>
      </c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31"/>
      <c r="BH202" s="31"/>
      <c r="BI202" s="31"/>
      <c r="BJ202" s="31"/>
      <c r="BK202" s="31"/>
      <c r="BL202" s="31"/>
      <c r="BM202" s="31"/>
      <c r="BN202" s="31"/>
      <c r="BQ202" s="27"/>
      <c r="BR202" s="28"/>
      <c r="BS202" s="31"/>
    </row>
    <row r="203" spans="1:71" s="212" customFormat="1" ht="12.75" customHeight="1" collapsed="1" x14ac:dyDescent="0.35">
      <c r="A203" s="438">
        <v>5</v>
      </c>
      <c r="B203" s="436" t="s">
        <v>145</v>
      </c>
      <c r="C203" s="202"/>
      <c r="D203" s="202"/>
      <c r="E203" s="203">
        <f>E205+E208+E211+E214+E217+E220</f>
        <v>235144</v>
      </c>
      <c r="F203" s="203">
        <f>F205+F208+F211+F214+F217+F220</f>
        <v>263361.28000000003</v>
      </c>
      <c r="G203" s="204"/>
      <c r="H203" s="215">
        <f>H205</f>
        <v>0</v>
      </c>
      <c r="I203" s="203">
        <f>I205+I208+I211+I214+I217+I220</f>
        <v>0</v>
      </c>
      <c r="J203" s="203">
        <f>J205+J208+J211+J214+J217+J220</f>
        <v>0</v>
      </c>
      <c r="K203" s="486" t="s">
        <v>146</v>
      </c>
      <c r="L203" s="487"/>
      <c r="M203" s="490" t="s">
        <v>113</v>
      </c>
      <c r="N203" s="241">
        <f t="shared" ref="N203:Q204" si="116">N205+N208+N211+N214+N217+N220</f>
        <v>192263645.37499997</v>
      </c>
      <c r="O203" s="243">
        <f t="shared" si="116"/>
        <v>215335282.81999999</v>
      </c>
      <c r="P203" s="241">
        <f t="shared" si="116"/>
        <v>192263645.37499997</v>
      </c>
      <c r="Q203" s="243">
        <f t="shared" si="116"/>
        <v>215335282.81999999</v>
      </c>
      <c r="R203" s="206"/>
      <c r="S203" s="510">
        <f>S205+S208+S211+S214+S217+S220</f>
        <v>99</v>
      </c>
      <c r="T203" s="216">
        <f t="shared" ref="T203:AB204" si="117">T205+T208+T211+T214+T217+T220</f>
        <v>0</v>
      </c>
      <c r="U203" s="216">
        <f t="shared" si="117"/>
        <v>0</v>
      </c>
      <c r="V203" s="216">
        <f t="shared" si="117"/>
        <v>0</v>
      </c>
      <c r="W203" s="216">
        <f t="shared" si="117"/>
        <v>136395</v>
      </c>
      <c r="X203" s="216">
        <f t="shared" si="117"/>
        <v>152762.40000000002</v>
      </c>
      <c r="Y203" s="216">
        <f t="shared" si="117"/>
        <v>99</v>
      </c>
      <c r="Z203" s="216">
        <f t="shared" si="117"/>
        <v>136395</v>
      </c>
      <c r="AA203" s="216">
        <f t="shared" si="117"/>
        <v>152762.40000000002</v>
      </c>
      <c r="AB203" s="216">
        <f t="shared" si="117"/>
        <v>99</v>
      </c>
      <c r="AC203" s="216">
        <f>AC205+AC208+AC211+AC214+AC217+AC220</f>
        <v>0</v>
      </c>
      <c r="AD203" s="216">
        <f t="shared" ref="AD203:AG204" si="118">AD205+AD208+AD211+AD214+AD217+AD220</f>
        <v>0</v>
      </c>
      <c r="AE203" s="216">
        <f t="shared" si="118"/>
        <v>0</v>
      </c>
      <c r="AF203" s="216">
        <f t="shared" si="118"/>
        <v>0</v>
      </c>
      <c r="AG203" s="216">
        <f t="shared" si="118"/>
        <v>0</v>
      </c>
      <c r="AH203" s="216">
        <f>AH205+AH208+AH211+AH214+AH217+AH220</f>
        <v>0</v>
      </c>
      <c r="AI203" s="207">
        <f>AF203-AC203</f>
        <v>0</v>
      </c>
      <c r="AJ203" s="207">
        <f>AG203-AD203</f>
        <v>0</v>
      </c>
      <c r="AK203" s="207">
        <f>AK205+AK208+AK211+AK214+AK217+AK220</f>
        <v>0</v>
      </c>
      <c r="AL203" s="208" t="str">
        <f t="shared" si="112"/>
        <v/>
      </c>
      <c r="AM203" s="244">
        <f t="shared" ref="AM203:BF204" si="119">AM205+AM208+AM211+AM214+AM217+AM220</f>
        <v>0</v>
      </c>
      <c r="AN203" s="244">
        <f t="shared" si="119"/>
        <v>0</v>
      </c>
      <c r="AO203" s="244">
        <f t="shared" si="119"/>
        <v>0</v>
      </c>
      <c r="AP203" s="207">
        <f t="shared" si="119"/>
        <v>0</v>
      </c>
      <c r="AQ203" s="207">
        <f t="shared" si="119"/>
        <v>0</v>
      </c>
      <c r="AR203" s="207">
        <f t="shared" si="119"/>
        <v>0</v>
      </c>
      <c r="AS203" s="207">
        <f t="shared" si="119"/>
        <v>0</v>
      </c>
      <c r="AT203" s="207">
        <f t="shared" si="119"/>
        <v>0</v>
      </c>
      <c r="AU203" s="207">
        <f t="shared" si="119"/>
        <v>0</v>
      </c>
      <c r="AV203" s="207">
        <f t="shared" si="119"/>
        <v>0</v>
      </c>
      <c r="AW203" s="207">
        <f t="shared" si="119"/>
        <v>0</v>
      </c>
      <c r="AX203" s="207">
        <f t="shared" si="119"/>
        <v>0</v>
      </c>
      <c r="AY203" s="207">
        <f t="shared" si="119"/>
        <v>0</v>
      </c>
      <c r="AZ203" s="207">
        <f t="shared" si="119"/>
        <v>0</v>
      </c>
      <c r="BA203" s="207">
        <f t="shared" si="119"/>
        <v>0</v>
      </c>
      <c r="BB203" s="207">
        <f t="shared" si="119"/>
        <v>0</v>
      </c>
      <c r="BC203" s="207">
        <f t="shared" si="119"/>
        <v>0</v>
      </c>
      <c r="BD203" s="207">
        <f t="shared" si="119"/>
        <v>0</v>
      </c>
      <c r="BE203" s="207">
        <f t="shared" si="119"/>
        <v>0</v>
      </c>
      <c r="BF203" s="207">
        <f t="shared" si="119"/>
        <v>0</v>
      </c>
      <c r="BG203" s="209" t="s">
        <v>84</v>
      </c>
      <c r="BH203" s="210"/>
      <c r="BI203" s="207">
        <f t="shared" ref="BI203:BK204" si="120">BI205+BI208+BI211+BI214+BI217+BI220</f>
        <v>0</v>
      </c>
      <c r="BJ203" s="207">
        <f t="shared" si="120"/>
        <v>0</v>
      </c>
      <c r="BK203" s="207">
        <f t="shared" si="120"/>
        <v>0</v>
      </c>
      <c r="BL203" s="211"/>
      <c r="BM203" s="211"/>
      <c r="BN203" s="210"/>
      <c r="BQ203" s="213"/>
      <c r="BR203" s="214"/>
      <c r="BS203" s="210"/>
    </row>
    <row r="204" spans="1:71" s="212" customFormat="1" x14ac:dyDescent="0.35">
      <c r="A204" s="499"/>
      <c r="B204" s="470"/>
      <c r="C204" s="202"/>
      <c r="D204" s="202"/>
      <c r="E204" s="203">
        <f>E206+E209+E212+E215+E218+E221</f>
        <v>235144</v>
      </c>
      <c r="F204" s="203">
        <f>F206+F209+F212+F215+F218+F221</f>
        <v>263361.28000000003</v>
      </c>
      <c r="G204" s="204"/>
      <c r="H204" s="215"/>
      <c r="I204" s="203">
        <f>I206+I209+I212+I215+I218+I221</f>
        <v>1576.7857142857142</v>
      </c>
      <c r="J204" s="203">
        <f>J206+J209+J212+J215+J218+J221</f>
        <v>1766</v>
      </c>
      <c r="K204" s="488"/>
      <c r="L204" s="489"/>
      <c r="M204" s="491"/>
      <c r="N204" s="241">
        <f t="shared" si="116"/>
        <v>192263645.37499997</v>
      </c>
      <c r="O204" s="243">
        <f t="shared" si="116"/>
        <v>215335282.81999999</v>
      </c>
      <c r="P204" s="241">
        <f t="shared" si="116"/>
        <v>192263645.37499997</v>
      </c>
      <c r="Q204" s="243">
        <f t="shared" si="116"/>
        <v>215335282.81999999</v>
      </c>
      <c r="R204" s="206"/>
      <c r="S204" s="511"/>
      <c r="T204" s="216">
        <f t="shared" si="117"/>
        <v>0</v>
      </c>
      <c r="U204" s="216">
        <f t="shared" si="117"/>
        <v>0</v>
      </c>
      <c r="V204" s="216"/>
      <c r="W204" s="216">
        <f t="shared" si="117"/>
        <v>95757.419232142842</v>
      </c>
      <c r="X204" s="216">
        <f t="shared" si="117"/>
        <v>107248.30953999999</v>
      </c>
      <c r="Y204" s="216"/>
      <c r="Z204" s="216">
        <f t="shared" si="117"/>
        <v>95757.419232142842</v>
      </c>
      <c r="AA204" s="216">
        <f t="shared" si="117"/>
        <v>107248.30953999999</v>
      </c>
      <c r="AB204" s="216"/>
      <c r="AC204" s="216">
        <f>AC206+AC209+AC212+AC215+AC218+AC221</f>
        <v>1576.7857142857142</v>
      </c>
      <c r="AD204" s="216">
        <f t="shared" si="118"/>
        <v>1766</v>
      </c>
      <c r="AE204" s="216"/>
      <c r="AF204" s="216">
        <f t="shared" si="118"/>
        <v>1576.665276785714</v>
      </c>
      <c r="AG204" s="216">
        <f t="shared" si="118"/>
        <v>1765.86511</v>
      </c>
      <c r="AH204" s="216"/>
      <c r="AI204" s="207">
        <f>AF204-AC204</f>
        <v>-0.12043750000020736</v>
      </c>
      <c r="AJ204" s="207">
        <f>AG204-AD204</f>
        <v>-0.13489000000004125</v>
      </c>
      <c r="AK204" s="207"/>
      <c r="AL204" s="208">
        <f t="shared" si="112"/>
        <v>0.99992361834654575</v>
      </c>
      <c r="AM204" s="244">
        <f t="shared" si="119"/>
        <v>1576.665276785714</v>
      </c>
      <c r="AN204" s="244">
        <f t="shared" si="119"/>
        <v>0</v>
      </c>
      <c r="AO204" s="244">
        <f t="shared" si="119"/>
        <v>0</v>
      </c>
      <c r="AP204" s="207">
        <f t="shared" si="119"/>
        <v>1576.7857142857142</v>
      </c>
      <c r="AQ204" s="207">
        <f t="shared" si="119"/>
        <v>1766</v>
      </c>
      <c r="AR204" s="207">
        <f t="shared" si="119"/>
        <v>0</v>
      </c>
      <c r="AS204" s="207">
        <f t="shared" si="119"/>
        <v>0</v>
      </c>
      <c r="AT204" s="207">
        <f t="shared" si="119"/>
        <v>0</v>
      </c>
      <c r="AU204" s="207">
        <f t="shared" si="119"/>
        <v>0</v>
      </c>
      <c r="AV204" s="207">
        <f t="shared" si="119"/>
        <v>0</v>
      </c>
      <c r="AW204" s="207">
        <f t="shared" si="119"/>
        <v>0</v>
      </c>
      <c r="AX204" s="207">
        <f t="shared" si="119"/>
        <v>0</v>
      </c>
      <c r="AY204" s="207">
        <f t="shared" si="119"/>
        <v>0</v>
      </c>
      <c r="AZ204" s="207">
        <f t="shared" si="119"/>
        <v>0</v>
      </c>
      <c r="BA204" s="207">
        <f t="shared" si="119"/>
        <v>0</v>
      </c>
      <c r="BB204" s="207">
        <f t="shared" si="119"/>
        <v>0</v>
      </c>
      <c r="BC204" s="207">
        <f t="shared" si="119"/>
        <v>0</v>
      </c>
      <c r="BD204" s="207">
        <f t="shared" si="119"/>
        <v>0</v>
      </c>
      <c r="BE204" s="207">
        <f t="shared" si="119"/>
        <v>0</v>
      </c>
      <c r="BF204" s="207">
        <f t="shared" si="119"/>
        <v>0</v>
      </c>
      <c r="BG204" s="210"/>
      <c r="BH204" s="210"/>
      <c r="BI204" s="207">
        <f t="shared" si="120"/>
        <v>0</v>
      </c>
      <c r="BJ204" s="207">
        <f t="shared" si="120"/>
        <v>0</v>
      </c>
      <c r="BK204" s="207">
        <f t="shared" si="120"/>
        <v>0</v>
      </c>
      <c r="BL204" s="211"/>
      <c r="BM204" s="211"/>
      <c r="BN204" s="210"/>
      <c r="BQ204" s="213"/>
      <c r="BR204" s="214"/>
      <c r="BS204" s="210"/>
    </row>
    <row r="205" spans="1:71" s="227" customFormat="1" x14ac:dyDescent="0.35">
      <c r="A205" s="499"/>
      <c r="B205" s="470"/>
      <c r="C205" s="217" t="s">
        <v>72</v>
      </c>
      <c r="D205" s="217" t="s">
        <v>73</v>
      </c>
      <c r="E205" s="218">
        <f>I205</f>
        <v>0</v>
      </c>
      <c r="F205" s="218">
        <f>E205*1.12</f>
        <v>0</v>
      </c>
      <c r="G205" s="493">
        <v>1919</v>
      </c>
      <c r="H205" s="496"/>
      <c r="I205" s="219"/>
      <c r="J205" s="219">
        <f>I205*1.12</f>
        <v>0</v>
      </c>
      <c r="K205" s="463" t="s">
        <v>120</v>
      </c>
      <c r="L205" s="502" t="s">
        <v>121</v>
      </c>
      <c r="M205" s="467" t="s">
        <v>113</v>
      </c>
      <c r="N205" s="220">
        <f t="shared" ref="N205:O222" si="121">P205</f>
        <v>19420570.482142858</v>
      </c>
      <c r="O205" s="220">
        <f t="shared" si="121"/>
        <v>21751038.940000001</v>
      </c>
      <c r="P205" s="220">
        <f>Q205/1.12</f>
        <v>19420570.482142858</v>
      </c>
      <c r="Q205" s="220">
        <v>21751038.940000001</v>
      </c>
      <c r="R205" s="436" t="s">
        <v>122</v>
      </c>
      <c r="S205" s="471">
        <v>10</v>
      </c>
      <c r="T205" s="221"/>
      <c r="U205" s="221"/>
      <c r="V205" s="221"/>
      <c r="W205" s="221">
        <f>6765+12013+3850-1434</f>
        <v>21194</v>
      </c>
      <c r="X205" s="222">
        <f>W205*1.12</f>
        <v>23737.280000000002</v>
      </c>
      <c r="Y205" s="221">
        <f>4+4+2</f>
        <v>10</v>
      </c>
      <c r="Z205" s="221">
        <f t="shared" ref="Z205:AB222" si="122">T205+W205</f>
        <v>21194</v>
      </c>
      <c r="AA205" s="221">
        <f t="shared" si="122"/>
        <v>23737.280000000002</v>
      </c>
      <c r="AB205" s="221">
        <f t="shared" si="122"/>
        <v>10</v>
      </c>
      <c r="AC205" s="221"/>
      <c r="AD205" s="221">
        <f>AC205*1.12</f>
        <v>0</v>
      </c>
      <c r="AE205" s="221"/>
      <c r="AF205" s="221"/>
      <c r="AG205" s="222">
        <f>AF205*1.12</f>
        <v>0</v>
      </c>
      <c r="AH205" s="221"/>
      <c r="AI205" s="222"/>
      <c r="AJ205" s="222">
        <f>AI205*1.12</f>
        <v>0</v>
      </c>
      <c r="AK205" s="222">
        <f>AH205-AE205</f>
        <v>0</v>
      </c>
      <c r="AL205" s="223"/>
      <c r="AM205" s="224"/>
      <c r="AN205" s="224"/>
      <c r="AO205" s="224"/>
      <c r="AP205" s="222"/>
      <c r="AQ205" s="222">
        <f t="shared" ref="AQ205:AQ222" si="123">AP205*1.12</f>
        <v>0</v>
      </c>
      <c r="AR205" s="222">
        <f>S205</f>
        <v>10</v>
      </c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6"/>
      <c r="BH205" s="226"/>
      <c r="BI205" s="226"/>
      <c r="BJ205" s="226"/>
      <c r="BK205" s="226"/>
      <c r="BL205" s="226"/>
      <c r="BM205" s="226"/>
      <c r="BN205" s="226"/>
      <c r="BQ205" s="228"/>
      <c r="BR205" s="229"/>
      <c r="BS205" s="226"/>
    </row>
    <row r="206" spans="1:71" s="103" customFormat="1" x14ac:dyDescent="0.35">
      <c r="A206" s="499"/>
      <c r="B206" s="470"/>
      <c r="C206" s="122" t="s">
        <v>74</v>
      </c>
      <c r="D206" s="122" t="s">
        <v>75</v>
      </c>
      <c r="E206" s="185">
        <f>E207</f>
        <v>0</v>
      </c>
      <c r="F206" s="185">
        <f>E206*1.12</f>
        <v>0</v>
      </c>
      <c r="G206" s="494"/>
      <c r="H206" s="497"/>
      <c r="I206" s="189">
        <f>I205</f>
        <v>0</v>
      </c>
      <c r="J206" s="189">
        <f>I206*1.12</f>
        <v>0</v>
      </c>
      <c r="K206" s="463"/>
      <c r="L206" s="502"/>
      <c r="M206" s="468"/>
      <c r="N206" s="125">
        <f t="shared" si="121"/>
        <v>19420570.482142858</v>
      </c>
      <c r="O206" s="125">
        <f t="shared" si="121"/>
        <v>21751038.940000001</v>
      </c>
      <c r="P206" s="125">
        <f>Q206/1.12</f>
        <v>19420570.482142858</v>
      </c>
      <c r="Q206" s="125">
        <f>Q205</f>
        <v>21751038.940000001</v>
      </c>
      <c r="R206" s="470"/>
      <c r="S206" s="472"/>
      <c r="T206" s="124"/>
      <c r="U206" s="124"/>
      <c r="V206" s="124"/>
      <c r="W206" s="124">
        <f>7156.15967/1.12+10974.02257/1.12+2519.44302/1.12</f>
        <v>18437.165410714282</v>
      </c>
      <c r="X206" s="245">
        <f>W206*1.12</f>
        <v>20649.625259999997</v>
      </c>
      <c r="Y206" s="246"/>
      <c r="Z206" s="124">
        <f t="shared" si="122"/>
        <v>18437.165410714282</v>
      </c>
      <c r="AA206" s="124">
        <f t="shared" si="122"/>
        <v>20649.625259999997</v>
      </c>
      <c r="AB206" s="124"/>
      <c r="AC206" s="124"/>
      <c r="AD206" s="124">
        <f>AC206*1.12</f>
        <v>0</v>
      </c>
      <c r="AE206" s="124"/>
      <c r="AF206" s="124"/>
      <c r="AG206" s="245">
        <f>AF206*1.12</f>
        <v>0</v>
      </c>
      <c r="AH206" s="246"/>
      <c r="AI206" s="123"/>
      <c r="AJ206" s="123">
        <f>AI206*1.12</f>
        <v>0</v>
      </c>
      <c r="AK206" s="123"/>
      <c r="AL206" s="126"/>
      <c r="AM206" s="127">
        <f>AF206</f>
        <v>0</v>
      </c>
      <c r="AN206" s="127"/>
      <c r="AO206" s="127"/>
      <c r="AP206" s="123"/>
      <c r="AQ206" s="123">
        <f t="shared" si="123"/>
        <v>0</v>
      </c>
      <c r="AR206" s="123"/>
      <c r="AS206" s="123"/>
      <c r="AT206" s="123"/>
      <c r="AU206" s="123"/>
      <c r="AV206" s="123"/>
      <c r="AW206" s="123"/>
      <c r="AX206" s="123"/>
      <c r="AY206" s="123"/>
      <c r="AZ206" s="123"/>
      <c r="BA206" s="123"/>
      <c r="BB206" s="123"/>
      <c r="BC206" s="123"/>
      <c r="BD206" s="123"/>
      <c r="BE206" s="123"/>
      <c r="BF206" s="123"/>
      <c r="BG206" s="106"/>
      <c r="BH206" s="106"/>
      <c r="BI206" s="106"/>
      <c r="BJ206" s="106"/>
      <c r="BK206" s="106"/>
      <c r="BL206" s="106"/>
      <c r="BM206" s="106"/>
      <c r="BN206" s="106"/>
      <c r="BQ206" s="29"/>
      <c r="BR206" s="107"/>
      <c r="BS206" s="106"/>
    </row>
    <row r="207" spans="1:71" x14ac:dyDescent="0.35">
      <c r="A207" s="499"/>
      <c r="B207" s="470"/>
      <c r="C207" s="129" t="s">
        <v>74</v>
      </c>
      <c r="D207" s="129" t="s">
        <v>76</v>
      </c>
      <c r="E207" s="187">
        <f>E205</f>
        <v>0</v>
      </c>
      <c r="F207" s="187">
        <f>E207*1.12</f>
        <v>0</v>
      </c>
      <c r="G207" s="494"/>
      <c r="H207" s="497"/>
      <c r="I207" s="191">
        <f>I206</f>
        <v>0</v>
      </c>
      <c r="J207" s="191">
        <f>J206</f>
        <v>0</v>
      </c>
      <c r="K207" s="463"/>
      <c r="L207" s="502"/>
      <c r="M207" s="469"/>
      <c r="N207" s="132">
        <f t="shared" si="121"/>
        <v>19420570.482142858</v>
      </c>
      <c r="O207" s="132">
        <f t="shared" si="121"/>
        <v>21751038.940000001</v>
      </c>
      <c r="P207" s="132">
        <f>Q207/1.12</f>
        <v>19420570.482142858</v>
      </c>
      <c r="Q207" s="132">
        <f>Q206</f>
        <v>21751038.940000001</v>
      </c>
      <c r="R207" s="437"/>
      <c r="S207" s="473"/>
      <c r="T207" s="131"/>
      <c r="U207" s="131"/>
      <c r="V207" s="131"/>
      <c r="W207" s="131">
        <f>W206</f>
        <v>18437.165410714282</v>
      </c>
      <c r="X207" s="247">
        <f>W207*1.12</f>
        <v>20649.625259999997</v>
      </c>
      <c r="Y207" s="248"/>
      <c r="Z207" s="131">
        <f t="shared" si="122"/>
        <v>18437.165410714282</v>
      </c>
      <c r="AA207" s="131">
        <f t="shared" si="122"/>
        <v>20649.625259999997</v>
      </c>
      <c r="AB207" s="131"/>
      <c r="AC207" s="131">
        <f>AC206</f>
        <v>0</v>
      </c>
      <c r="AD207" s="131">
        <f>AD206</f>
        <v>0</v>
      </c>
      <c r="AE207" s="131"/>
      <c r="AF207" s="131">
        <f>AF206</f>
        <v>0</v>
      </c>
      <c r="AG207" s="247">
        <f>AF207*1.12</f>
        <v>0</v>
      </c>
      <c r="AH207" s="248"/>
      <c r="AI207" s="130">
        <f>AI206</f>
        <v>0</v>
      </c>
      <c r="AJ207" s="130">
        <f>AJ206</f>
        <v>0</v>
      </c>
      <c r="AK207" s="130"/>
      <c r="AL207" s="133"/>
      <c r="AM207" s="134">
        <f>AF207</f>
        <v>0</v>
      </c>
      <c r="AN207" s="134"/>
      <c r="AO207" s="134"/>
      <c r="AP207" s="130">
        <f>AP206</f>
        <v>0</v>
      </c>
      <c r="AQ207" s="130">
        <f t="shared" si="123"/>
        <v>0</v>
      </c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31"/>
      <c r="BH207" s="31"/>
      <c r="BI207" s="31"/>
      <c r="BJ207" s="31"/>
      <c r="BK207" s="31"/>
      <c r="BL207" s="31"/>
      <c r="BM207" s="31"/>
      <c r="BN207" s="31"/>
      <c r="BQ207" s="27"/>
      <c r="BR207" s="28"/>
      <c r="BS207" s="31"/>
    </row>
    <row r="208" spans="1:71" s="227" customFormat="1" collapsed="1" x14ac:dyDescent="0.35">
      <c r="A208" s="499"/>
      <c r="B208" s="470"/>
      <c r="C208" s="217" t="s">
        <v>72</v>
      </c>
      <c r="D208" s="217" t="s">
        <v>73</v>
      </c>
      <c r="E208" s="218"/>
      <c r="F208" s="218"/>
      <c r="G208" s="494"/>
      <c r="H208" s="497"/>
      <c r="I208" s="219"/>
      <c r="J208" s="219"/>
      <c r="K208" s="483" t="s">
        <v>129</v>
      </c>
      <c r="L208" s="480" t="s">
        <v>130</v>
      </c>
      <c r="M208" s="467" t="s">
        <v>113</v>
      </c>
      <c r="N208" s="220">
        <f t="shared" si="121"/>
        <v>95160793.999999985</v>
      </c>
      <c r="O208" s="220">
        <f t="shared" si="121"/>
        <v>106580089.27999999</v>
      </c>
      <c r="P208" s="220">
        <f>Q208/1.12</f>
        <v>95160793.999999985</v>
      </c>
      <c r="Q208" s="220">
        <f>54377597.12+26101246.08+26101246.08</f>
        <v>106580089.27999999</v>
      </c>
      <c r="R208" s="436" t="s">
        <v>122</v>
      </c>
      <c r="S208" s="471">
        <f>25+12+12</f>
        <v>49</v>
      </c>
      <c r="T208" s="221"/>
      <c r="U208" s="221"/>
      <c r="V208" s="221"/>
      <c r="W208" s="221">
        <f>61750+1+1287-69</f>
        <v>62969</v>
      </c>
      <c r="X208" s="222">
        <f>W208*1.12</f>
        <v>70525.280000000013</v>
      </c>
      <c r="Y208" s="221">
        <f>11+1+11+8+11+6+1</f>
        <v>49</v>
      </c>
      <c r="Z208" s="221">
        <f t="shared" si="122"/>
        <v>62969</v>
      </c>
      <c r="AA208" s="221">
        <f t="shared" si="122"/>
        <v>70525.280000000013</v>
      </c>
      <c r="AB208" s="221">
        <f t="shared" si="122"/>
        <v>49</v>
      </c>
      <c r="AC208" s="221"/>
      <c r="AD208" s="221"/>
      <c r="AE208" s="221"/>
      <c r="AF208" s="221"/>
      <c r="AG208" s="222">
        <f>AF208*1.12</f>
        <v>0</v>
      </c>
      <c r="AH208" s="221"/>
      <c r="AI208" s="222"/>
      <c r="AJ208" s="222">
        <f>AI208*1.12</f>
        <v>0</v>
      </c>
      <c r="AK208" s="222">
        <f>AH208-AE208</f>
        <v>0</v>
      </c>
      <c r="AL208" s="223" t="str">
        <f t="shared" ref="AL208:AL284" si="124">IF(AC208=0,"",AF208/AC208)</f>
        <v/>
      </c>
      <c r="AM208" s="224"/>
      <c r="AN208" s="224"/>
      <c r="AO208" s="224"/>
      <c r="AP208" s="222"/>
      <c r="AQ208" s="222">
        <f t="shared" si="123"/>
        <v>0</v>
      </c>
      <c r="AR208" s="222">
        <f>S208</f>
        <v>49</v>
      </c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49"/>
      <c r="BH208" s="249"/>
      <c r="BI208" s="249"/>
      <c r="BJ208" s="249"/>
      <c r="BK208" s="249"/>
      <c r="BL208" s="249"/>
      <c r="BM208" s="249"/>
      <c r="BN208" s="249"/>
      <c r="BQ208" s="228"/>
      <c r="BR208" s="229"/>
      <c r="BS208" s="226"/>
    </row>
    <row r="209" spans="1:71" s="103" customFormat="1" x14ac:dyDescent="0.35">
      <c r="A209" s="499"/>
      <c r="B209" s="470"/>
      <c r="C209" s="122" t="s">
        <v>74</v>
      </c>
      <c r="D209" s="122" t="s">
        <v>75</v>
      </c>
      <c r="E209" s="185"/>
      <c r="F209" s="185"/>
      <c r="G209" s="494"/>
      <c r="H209" s="497"/>
      <c r="I209" s="189"/>
      <c r="J209" s="189"/>
      <c r="K209" s="484"/>
      <c r="L209" s="481"/>
      <c r="M209" s="468"/>
      <c r="N209" s="125">
        <f t="shared" si="121"/>
        <v>95160793.999999985</v>
      </c>
      <c r="O209" s="125">
        <f t="shared" si="121"/>
        <v>106580089.27999999</v>
      </c>
      <c r="P209" s="125">
        <f t="shared" ref="P209:P222" si="125">Q209/1.12</f>
        <v>95160793.999999985</v>
      </c>
      <c r="Q209" s="125">
        <f>Q208</f>
        <v>106580089.27999999</v>
      </c>
      <c r="R209" s="470"/>
      <c r="S209" s="472"/>
      <c r="T209" s="124"/>
      <c r="U209" s="124"/>
      <c r="V209" s="124"/>
      <c r="W209" s="189">
        <f>8306.3769/1.12+6529.20472/1.12+12057.33137/1.12+13934.43825/1.12+4851.32122/1.12+697.77026/1.12</f>
        <v>41407.538142857135</v>
      </c>
      <c r="X209" s="185">
        <f>W209*1.12</f>
        <v>46376.442719999992</v>
      </c>
      <c r="Y209" s="124"/>
      <c r="Z209" s="124">
        <f t="shared" si="122"/>
        <v>41407.538142857135</v>
      </c>
      <c r="AA209" s="124">
        <f t="shared" si="122"/>
        <v>46376.442719999992</v>
      </c>
      <c r="AB209" s="124"/>
      <c r="AC209" s="124"/>
      <c r="AD209" s="124">
        <f>AC209*1.12</f>
        <v>0</v>
      </c>
      <c r="AE209" s="124"/>
      <c r="AF209" s="189"/>
      <c r="AG209" s="185">
        <f>AF209*1.12</f>
        <v>0</v>
      </c>
      <c r="AH209" s="124"/>
      <c r="AI209" s="123"/>
      <c r="AJ209" s="123">
        <f>AI209*1.12</f>
        <v>0</v>
      </c>
      <c r="AK209" s="123"/>
      <c r="AL209" s="126" t="str">
        <f t="shared" si="124"/>
        <v/>
      </c>
      <c r="AM209" s="127">
        <f>AF209</f>
        <v>0</v>
      </c>
      <c r="AN209" s="127"/>
      <c r="AO209" s="127"/>
      <c r="AP209" s="123"/>
      <c r="AQ209" s="123">
        <f t="shared" si="123"/>
        <v>0</v>
      </c>
      <c r="AR209" s="123"/>
      <c r="AS209" s="123"/>
      <c r="AT209" s="123"/>
      <c r="AU209" s="123"/>
      <c r="AV209" s="123"/>
      <c r="AW209" s="123"/>
      <c r="AX209" s="123"/>
      <c r="AY209" s="123"/>
      <c r="AZ209" s="123"/>
      <c r="BA209" s="123"/>
      <c r="BB209" s="123"/>
      <c r="BC209" s="123"/>
      <c r="BD209" s="123"/>
      <c r="BE209" s="123"/>
      <c r="BF209" s="123"/>
      <c r="BG209" s="128"/>
      <c r="BH209" s="128"/>
      <c r="BI209" s="128"/>
      <c r="BJ209" s="128"/>
      <c r="BK209" s="128"/>
      <c r="BL209" s="128"/>
      <c r="BM209" s="128"/>
      <c r="BN209" s="128"/>
      <c r="BQ209" s="29"/>
      <c r="BR209" s="107"/>
      <c r="BS209" s="106"/>
    </row>
    <row r="210" spans="1:71" x14ac:dyDescent="0.35">
      <c r="A210" s="499"/>
      <c r="B210" s="470"/>
      <c r="C210" s="129" t="s">
        <v>74</v>
      </c>
      <c r="D210" s="129" t="s">
        <v>76</v>
      </c>
      <c r="E210" s="187"/>
      <c r="F210" s="187"/>
      <c r="G210" s="494"/>
      <c r="H210" s="497"/>
      <c r="I210" s="191"/>
      <c r="J210" s="191"/>
      <c r="K210" s="485"/>
      <c r="L210" s="482"/>
      <c r="M210" s="469"/>
      <c r="N210" s="132">
        <f t="shared" si="121"/>
        <v>95160793.999999985</v>
      </c>
      <c r="O210" s="132">
        <f t="shared" si="121"/>
        <v>106580089.27999999</v>
      </c>
      <c r="P210" s="132">
        <f t="shared" si="125"/>
        <v>95160793.999999985</v>
      </c>
      <c r="Q210" s="132">
        <f>Q208</f>
        <v>106580089.27999999</v>
      </c>
      <c r="R210" s="437"/>
      <c r="S210" s="473"/>
      <c r="T210" s="131"/>
      <c r="U210" s="131"/>
      <c r="V210" s="131"/>
      <c r="W210" s="131">
        <f>W209</f>
        <v>41407.538142857135</v>
      </c>
      <c r="X210" s="130">
        <f>X209</f>
        <v>46376.442719999992</v>
      </c>
      <c r="Y210" s="131"/>
      <c r="Z210" s="131">
        <f t="shared" si="122"/>
        <v>41407.538142857135</v>
      </c>
      <c r="AA210" s="131">
        <f t="shared" si="122"/>
        <v>46376.442719999992</v>
      </c>
      <c r="AB210" s="131"/>
      <c r="AC210" s="131">
        <f>AC209</f>
        <v>0</v>
      </c>
      <c r="AD210" s="131">
        <f>AD209</f>
        <v>0</v>
      </c>
      <c r="AE210" s="131"/>
      <c r="AF210" s="131">
        <f>AF209</f>
        <v>0</v>
      </c>
      <c r="AG210" s="130">
        <f>AG209</f>
        <v>0</v>
      </c>
      <c r="AH210" s="131"/>
      <c r="AI210" s="130">
        <f>AI209</f>
        <v>0</v>
      </c>
      <c r="AJ210" s="130">
        <f>AJ209</f>
        <v>0</v>
      </c>
      <c r="AK210" s="130"/>
      <c r="AL210" s="133" t="str">
        <f t="shared" si="124"/>
        <v/>
      </c>
      <c r="AM210" s="134">
        <f>AF210</f>
        <v>0</v>
      </c>
      <c r="AN210" s="134"/>
      <c r="AO210" s="134"/>
      <c r="AP210" s="130">
        <f>AP209</f>
        <v>0</v>
      </c>
      <c r="AQ210" s="130">
        <f t="shared" si="123"/>
        <v>0</v>
      </c>
      <c r="AR210" s="130"/>
      <c r="AS210" s="123"/>
      <c r="AT210" s="123"/>
      <c r="AU210" s="123"/>
      <c r="AV210" s="123"/>
      <c r="AW210" s="123"/>
      <c r="AX210" s="123"/>
      <c r="AY210" s="123"/>
      <c r="AZ210" s="123"/>
      <c r="BA210" s="123"/>
      <c r="BB210" s="123"/>
      <c r="BC210" s="123"/>
      <c r="BD210" s="123"/>
      <c r="BE210" s="123"/>
      <c r="BF210" s="123"/>
      <c r="BG210" s="128"/>
      <c r="BH210" s="128"/>
      <c r="BI210" s="128"/>
      <c r="BJ210" s="128"/>
      <c r="BK210" s="128"/>
      <c r="BL210" s="128"/>
      <c r="BM210" s="128"/>
      <c r="BN210" s="128"/>
      <c r="BQ210" s="27"/>
      <c r="BR210" s="28"/>
      <c r="BS210" s="31"/>
    </row>
    <row r="211" spans="1:71" s="227" customFormat="1" x14ac:dyDescent="0.35">
      <c r="A211" s="499"/>
      <c r="B211" s="470"/>
      <c r="C211" s="217" t="s">
        <v>72</v>
      </c>
      <c r="D211" s="217" t="s">
        <v>73</v>
      </c>
      <c r="E211" s="218">
        <v>235144</v>
      </c>
      <c r="F211" s="218">
        <f>E211*1.12</f>
        <v>263361.28000000003</v>
      </c>
      <c r="G211" s="494"/>
      <c r="H211" s="497"/>
      <c r="I211" s="219"/>
      <c r="J211" s="219"/>
      <c r="K211" s="463" t="s">
        <v>133</v>
      </c>
      <c r="L211" s="501" t="s">
        <v>134</v>
      </c>
      <c r="M211" s="467" t="s">
        <v>113</v>
      </c>
      <c r="N211" s="220">
        <f t="shared" si="121"/>
        <v>38841140.892857134</v>
      </c>
      <c r="O211" s="220">
        <f t="shared" si="121"/>
        <v>43502077.799999997</v>
      </c>
      <c r="P211" s="220">
        <f t="shared" si="125"/>
        <v>38841140.892857134</v>
      </c>
      <c r="Q211" s="220">
        <v>43502077.799999997</v>
      </c>
      <c r="R211" s="436" t="s">
        <v>122</v>
      </c>
      <c r="S211" s="471">
        <v>20</v>
      </c>
      <c r="T211" s="221"/>
      <c r="U211" s="221"/>
      <c r="V211" s="221"/>
      <c r="W211" s="221">
        <f>21352-1+1424+4760+34</f>
        <v>27569</v>
      </c>
      <c r="X211" s="222">
        <f>W211*1.12</f>
        <v>30877.280000000002</v>
      </c>
      <c r="Y211" s="221">
        <f>6+4+1+4+3+2</f>
        <v>20</v>
      </c>
      <c r="Z211" s="221">
        <f t="shared" si="122"/>
        <v>27569</v>
      </c>
      <c r="AA211" s="221">
        <f t="shared" si="122"/>
        <v>30877.280000000002</v>
      </c>
      <c r="AB211" s="221">
        <f t="shared" si="122"/>
        <v>20</v>
      </c>
      <c r="AC211" s="221"/>
      <c r="AD211" s="221"/>
      <c r="AE211" s="221"/>
      <c r="AF211" s="221"/>
      <c r="AG211" s="222">
        <f>AF211*1.12</f>
        <v>0</v>
      </c>
      <c r="AH211" s="221"/>
      <c r="AI211" s="222"/>
      <c r="AJ211" s="222">
        <f>AI211*1.12</f>
        <v>0</v>
      </c>
      <c r="AK211" s="222">
        <f>AH211-AE211</f>
        <v>0</v>
      </c>
      <c r="AL211" s="223" t="str">
        <f t="shared" si="124"/>
        <v/>
      </c>
      <c r="AM211" s="224"/>
      <c r="AN211" s="224"/>
      <c r="AO211" s="224"/>
      <c r="AP211" s="222">
        <f>E205-AP205-AP208</f>
        <v>0</v>
      </c>
      <c r="AQ211" s="222">
        <f t="shared" si="123"/>
        <v>0</v>
      </c>
      <c r="AR211" s="222">
        <f>H205-AR205-AR208</f>
        <v>-59</v>
      </c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5"/>
      <c r="BF211" s="225"/>
      <c r="BG211" s="231"/>
      <c r="BH211" s="231"/>
      <c r="BI211" s="226"/>
      <c r="BJ211" s="226"/>
      <c r="BK211" s="226"/>
      <c r="BL211" s="231"/>
      <c r="BM211" s="231"/>
      <c r="BN211" s="226"/>
      <c r="BQ211" s="228"/>
      <c r="BR211" s="229"/>
      <c r="BS211" s="226"/>
    </row>
    <row r="212" spans="1:71" s="103" customFormat="1" x14ac:dyDescent="0.35">
      <c r="A212" s="499"/>
      <c r="B212" s="470"/>
      <c r="C212" s="122" t="s">
        <v>74</v>
      </c>
      <c r="D212" s="122" t="s">
        <v>75</v>
      </c>
      <c r="E212" s="185">
        <v>235144</v>
      </c>
      <c r="F212" s="185">
        <f>E212*1.12</f>
        <v>263361.28000000003</v>
      </c>
      <c r="G212" s="494"/>
      <c r="H212" s="497"/>
      <c r="I212" s="189">
        <v>1576.7857142857142</v>
      </c>
      <c r="J212" s="189">
        <f>I212*1.12</f>
        <v>1766</v>
      </c>
      <c r="K212" s="463"/>
      <c r="L212" s="501"/>
      <c r="M212" s="468"/>
      <c r="N212" s="125">
        <f t="shared" si="121"/>
        <v>38841140.892857134</v>
      </c>
      <c r="O212" s="125">
        <f t="shared" si="121"/>
        <v>43502077.799999997</v>
      </c>
      <c r="P212" s="125">
        <f t="shared" si="125"/>
        <v>38841140.892857134</v>
      </c>
      <c r="Q212" s="125">
        <f>Q211</f>
        <v>43502077.799999997</v>
      </c>
      <c r="R212" s="470"/>
      <c r="S212" s="472"/>
      <c r="T212" s="124"/>
      <c r="U212" s="124"/>
      <c r="V212" s="124"/>
      <c r="W212" s="124">
        <f>8760.42599/1.12+5859.89053/1.12+1198.11364/1.12+4149.89098/1.12+3415.65114/1.12</f>
        <v>20878.546678571427</v>
      </c>
      <c r="X212" s="123">
        <f>W212*1.12</f>
        <v>23383.972280000002</v>
      </c>
      <c r="Y212" s="124"/>
      <c r="Z212" s="124">
        <f t="shared" si="122"/>
        <v>20878.546678571427</v>
      </c>
      <c r="AA212" s="124">
        <f t="shared" si="122"/>
        <v>23383.972280000002</v>
      </c>
      <c r="AB212" s="124"/>
      <c r="AC212" s="124">
        <v>1576.7857142857142</v>
      </c>
      <c r="AD212" s="124">
        <f>AC212*1.12</f>
        <v>1766</v>
      </c>
      <c r="AE212" s="124"/>
      <c r="AF212" s="124">
        <f>1765.86511/1.12</f>
        <v>1576.665276785714</v>
      </c>
      <c r="AG212" s="123">
        <f>AF212*1.12</f>
        <v>1765.86511</v>
      </c>
      <c r="AH212" s="124"/>
      <c r="AI212" s="123">
        <f>AF212-AC206</f>
        <v>1576.665276785714</v>
      </c>
      <c r="AJ212" s="123">
        <f>AI212*1.12</f>
        <v>1765.86511</v>
      </c>
      <c r="AK212" s="123"/>
      <c r="AL212" s="126">
        <f t="shared" si="124"/>
        <v>0.99992361834654575</v>
      </c>
      <c r="AM212" s="127">
        <f>AF212</f>
        <v>1576.665276785714</v>
      </c>
      <c r="AN212" s="127"/>
      <c r="AO212" s="127"/>
      <c r="AP212" s="123">
        <f>I212</f>
        <v>1576.7857142857142</v>
      </c>
      <c r="AQ212" s="123">
        <f t="shared" si="123"/>
        <v>1766</v>
      </c>
      <c r="AR212" s="123"/>
      <c r="AS212" s="123"/>
      <c r="AT212" s="123"/>
      <c r="AU212" s="123"/>
      <c r="AV212" s="123"/>
      <c r="AW212" s="123"/>
      <c r="AX212" s="123"/>
      <c r="AY212" s="123"/>
      <c r="AZ212" s="123"/>
      <c r="BA212" s="123"/>
      <c r="BB212" s="123"/>
      <c r="BC212" s="123"/>
      <c r="BD212" s="123"/>
      <c r="BE212" s="123"/>
      <c r="BF212" s="123"/>
      <c r="BG212" s="232"/>
      <c r="BH212" s="232"/>
      <c r="BI212" s="106"/>
      <c r="BJ212" s="106"/>
      <c r="BK212" s="106"/>
      <c r="BL212" s="232"/>
      <c r="BM212" s="232"/>
      <c r="BN212" s="106"/>
      <c r="BQ212" s="29"/>
      <c r="BR212" s="107"/>
      <c r="BS212" s="106"/>
    </row>
    <row r="213" spans="1:71" x14ac:dyDescent="0.35">
      <c r="A213" s="499"/>
      <c r="B213" s="470"/>
      <c r="C213" s="129" t="s">
        <v>74</v>
      </c>
      <c r="D213" s="129" t="s">
        <v>76</v>
      </c>
      <c r="E213" s="187">
        <v>235144</v>
      </c>
      <c r="F213" s="187">
        <f>E213*1.12</f>
        <v>263361.28000000003</v>
      </c>
      <c r="G213" s="494"/>
      <c r="H213" s="497"/>
      <c r="I213" s="191">
        <v>1576.7857142857142</v>
      </c>
      <c r="J213" s="191">
        <f>J212</f>
        <v>1766</v>
      </c>
      <c r="K213" s="463"/>
      <c r="L213" s="501"/>
      <c r="M213" s="469"/>
      <c r="N213" s="132">
        <f t="shared" si="121"/>
        <v>38841140.892857134</v>
      </c>
      <c r="O213" s="132">
        <f t="shared" si="121"/>
        <v>43502077.799999997</v>
      </c>
      <c r="P213" s="132">
        <f t="shared" si="125"/>
        <v>38841140.892857134</v>
      </c>
      <c r="Q213" s="132">
        <f>Q212</f>
        <v>43502077.799999997</v>
      </c>
      <c r="R213" s="437"/>
      <c r="S213" s="473"/>
      <c r="T213" s="131"/>
      <c r="U213" s="131"/>
      <c r="V213" s="131"/>
      <c r="W213" s="131">
        <f>W212</f>
        <v>20878.546678571427</v>
      </c>
      <c r="X213" s="130">
        <f>X212</f>
        <v>23383.972280000002</v>
      </c>
      <c r="Y213" s="131"/>
      <c r="Z213" s="131">
        <f t="shared" si="122"/>
        <v>20878.546678571427</v>
      </c>
      <c r="AA213" s="131">
        <f t="shared" si="122"/>
        <v>23383.972280000002</v>
      </c>
      <c r="AB213" s="131"/>
      <c r="AC213" s="131">
        <f>AC212</f>
        <v>1576.7857142857142</v>
      </c>
      <c r="AD213" s="131">
        <f>AD212</f>
        <v>1766</v>
      </c>
      <c r="AE213" s="131"/>
      <c r="AF213" s="131">
        <f>AF212</f>
        <v>1576.665276785714</v>
      </c>
      <c r="AG213" s="130">
        <f>AG212</f>
        <v>1765.86511</v>
      </c>
      <c r="AH213" s="131"/>
      <c r="AI213" s="130">
        <f>AI212</f>
        <v>1576.665276785714</v>
      </c>
      <c r="AJ213" s="130">
        <f>AJ212</f>
        <v>1765.86511</v>
      </c>
      <c r="AK213" s="130"/>
      <c r="AL213" s="133">
        <f t="shared" si="124"/>
        <v>0.99992361834654575</v>
      </c>
      <c r="AM213" s="134">
        <f>AF213</f>
        <v>1576.665276785714</v>
      </c>
      <c r="AN213" s="134"/>
      <c r="AO213" s="134"/>
      <c r="AP213" s="130">
        <f>AP212</f>
        <v>1576.7857142857142</v>
      </c>
      <c r="AQ213" s="130">
        <f t="shared" si="123"/>
        <v>1766</v>
      </c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233"/>
      <c r="BH213" s="233"/>
      <c r="BI213" s="31"/>
      <c r="BJ213" s="31"/>
      <c r="BK213" s="31"/>
      <c r="BL213" s="233"/>
      <c r="BM213" s="233"/>
      <c r="BN213" s="31"/>
      <c r="BQ213" s="27"/>
      <c r="BR213" s="28"/>
      <c r="BS213" s="31"/>
    </row>
    <row r="214" spans="1:71" s="227" customFormat="1" x14ac:dyDescent="0.35">
      <c r="A214" s="499"/>
      <c r="B214" s="470"/>
      <c r="C214" s="217" t="s">
        <v>72</v>
      </c>
      <c r="D214" s="217" t="s">
        <v>73</v>
      </c>
      <c r="E214" s="218"/>
      <c r="F214" s="218"/>
      <c r="G214" s="494"/>
      <c r="H214" s="497"/>
      <c r="I214" s="219"/>
      <c r="J214" s="219"/>
      <c r="K214" s="463" t="s">
        <v>137</v>
      </c>
      <c r="L214" s="507" t="s">
        <v>138</v>
      </c>
      <c r="M214" s="467" t="s">
        <v>113</v>
      </c>
      <c r="N214" s="220">
        <f t="shared" si="121"/>
        <v>38841139.999999993</v>
      </c>
      <c r="O214" s="220">
        <f t="shared" si="121"/>
        <v>43502076.799999997</v>
      </c>
      <c r="P214" s="220">
        <f t="shared" si="125"/>
        <v>38841139.999999993</v>
      </c>
      <c r="Q214" s="220">
        <v>43502076.799999997</v>
      </c>
      <c r="R214" s="436" t="s">
        <v>122</v>
      </c>
      <c r="S214" s="471">
        <v>20</v>
      </c>
      <c r="T214" s="221"/>
      <c r="U214" s="221"/>
      <c r="V214" s="221"/>
      <c r="W214" s="221">
        <f>6762+4890+9995+1+1961+1054</f>
        <v>24663</v>
      </c>
      <c r="X214" s="222">
        <f t="shared" ref="X214:X222" si="126">W214*1.12</f>
        <v>27622.560000000001</v>
      </c>
      <c r="Y214" s="221">
        <f>4+5+4+7</f>
        <v>20</v>
      </c>
      <c r="Z214" s="221">
        <f t="shared" si="122"/>
        <v>24663</v>
      </c>
      <c r="AA214" s="221">
        <f t="shared" si="122"/>
        <v>27622.560000000001</v>
      </c>
      <c r="AB214" s="221">
        <f t="shared" si="122"/>
        <v>20</v>
      </c>
      <c r="AC214" s="221"/>
      <c r="AD214" s="221"/>
      <c r="AE214" s="221"/>
      <c r="AF214" s="221"/>
      <c r="AG214" s="222">
        <f t="shared" ref="AG214:AG222" si="127">AF214*1.12</f>
        <v>0</v>
      </c>
      <c r="AH214" s="221"/>
      <c r="AI214" s="222"/>
      <c r="AJ214" s="222">
        <f>AI214*1.12</f>
        <v>0</v>
      </c>
      <c r="AK214" s="222">
        <f>AH214-AE214</f>
        <v>0</v>
      </c>
      <c r="AL214" s="223" t="str">
        <f t="shared" si="124"/>
        <v/>
      </c>
      <c r="AM214" s="224"/>
      <c r="AN214" s="224"/>
      <c r="AO214" s="224"/>
      <c r="AP214" s="222"/>
      <c r="AQ214" s="222">
        <f t="shared" si="123"/>
        <v>0</v>
      </c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6"/>
      <c r="BH214" s="226"/>
      <c r="BI214" s="226"/>
      <c r="BJ214" s="226"/>
      <c r="BK214" s="226"/>
      <c r="BL214" s="226"/>
      <c r="BM214" s="226"/>
      <c r="BN214" s="226"/>
      <c r="BQ214" s="228"/>
      <c r="BR214" s="229"/>
      <c r="BS214" s="226"/>
    </row>
    <row r="215" spans="1:71" s="103" customFormat="1" x14ac:dyDescent="0.35">
      <c r="A215" s="499"/>
      <c r="B215" s="470"/>
      <c r="C215" s="122" t="s">
        <v>74</v>
      </c>
      <c r="D215" s="122" t="s">
        <v>75</v>
      </c>
      <c r="E215" s="185"/>
      <c r="F215" s="185"/>
      <c r="G215" s="494"/>
      <c r="H215" s="497"/>
      <c r="I215" s="189"/>
      <c r="J215" s="189"/>
      <c r="K215" s="463"/>
      <c r="L215" s="508"/>
      <c r="M215" s="468"/>
      <c r="N215" s="125">
        <f t="shared" si="121"/>
        <v>38841139.999999993</v>
      </c>
      <c r="O215" s="125">
        <f t="shared" si="121"/>
        <v>43502076.799999997</v>
      </c>
      <c r="P215" s="125">
        <f t="shared" si="125"/>
        <v>38841139.999999993</v>
      </c>
      <c r="Q215" s="125">
        <f>Q214</f>
        <v>43502076.799999997</v>
      </c>
      <c r="R215" s="470"/>
      <c r="S215" s="472"/>
      <c r="T215" s="124"/>
      <c r="U215" s="124"/>
      <c r="V215" s="124"/>
      <c r="W215" s="124">
        <f>3854.22016/1.12+3584.0616/1.12+3321.1808/1.12+6078.80672/1.12</f>
        <v>15034.168999999998</v>
      </c>
      <c r="X215" s="123">
        <f t="shared" si="126"/>
        <v>16838.26928</v>
      </c>
      <c r="Y215" s="124"/>
      <c r="Z215" s="124">
        <f t="shared" si="122"/>
        <v>15034.168999999998</v>
      </c>
      <c r="AA215" s="124">
        <f t="shared" si="122"/>
        <v>16838.26928</v>
      </c>
      <c r="AB215" s="124"/>
      <c r="AC215" s="124"/>
      <c r="AD215" s="124">
        <f>AC215*1.12</f>
        <v>0</v>
      </c>
      <c r="AE215" s="124"/>
      <c r="AF215" s="124"/>
      <c r="AG215" s="123">
        <f t="shared" si="127"/>
        <v>0</v>
      </c>
      <c r="AH215" s="124"/>
      <c r="AI215" s="123"/>
      <c r="AJ215" s="123">
        <f>AI215*1.12</f>
        <v>0</v>
      </c>
      <c r="AK215" s="123"/>
      <c r="AL215" s="126" t="str">
        <f t="shared" si="124"/>
        <v/>
      </c>
      <c r="AM215" s="127">
        <f>AF215</f>
        <v>0</v>
      </c>
      <c r="AN215" s="127"/>
      <c r="AO215" s="127"/>
      <c r="AP215" s="123">
        <f>AF215</f>
        <v>0</v>
      </c>
      <c r="AQ215" s="123">
        <f t="shared" si="123"/>
        <v>0</v>
      </c>
      <c r="AR215" s="123"/>
      <c r="AS215" s="123"/>
      <c r="AT215" s="123"/>
      <c r="AU215" s="123"/>
      <c r="AV215" s="123"/>
      <c r="AW215" s="123"/>
      <c r="AX215" s="123"/>
      <c r="AY215" s="123"/>
      <c r="AZ215" s="123"/>
      <c r="BA215" s="123"/>
      <c r="BB215" s="123"/>
      <c r="BC215" s="123"/>
      <c r="BD215" s="123"/>
      <c r="BE215" s="123"/>
      <c r="BF215" s="123"/>
      <c r="BG215" s="106"/>
      <c r="BH215" s="106"/>
      <c r="BI215" s="106"/>
      <c r="BJ215" s="106"/>
      <c r="BK215" s="106"/>
      <c r="BL215" s="106"/>
      <c r="BM215" s="106"/>
      <c r="BN215" s="106"/>
      <c r="BQ215" s="29"/>
      <c r="BR215" s="107"/>
      <c r="BS215" s="106"/>
    </row>
    <row r="216" spans="1:71" x14ac:dyDescent="0.35">
      <c r="A216" s="499"/>
      <c r="B216" s="470"/>
      <c r="C216" s="129" t="s">
        <v>74</v>
      </c>
      <c r="D216" s="129" t="s">
        <v>76</v>
      </c>
      <c r="E216" s="187"/>
      <c r="F216" s="187"/>
      <c r="G216" s="494"/>
      <c r="H216" s="497"/>
      <c r="I216" s="191"/>
      <c r="J216" s="191"/>
      <c r="K216" s="463"/>
      <c r="L216" s="509"/>
      <c r="M216" s="469"/>
      <c r="N216" s="132">
        <f t="shared" si="121"/>
        <v>38841139.999999993</v>
      </c>
      <c r="O216" s="132">
        <f t="shared" si="121"/>
        <v>43502076.799999997</v>
      </c>
      <c r="P216" s="132">
        <f t="shared" si="125"/>
        <v>38841139.999999993</v>
      </c>
      <c r="Q216" s="250">
        <f>Q215</f>
        <v>43502076.799999997</v>
      </c>
      <c r="R216" s="437"/>
      <c r="S216" s="473"/>
      <c r="T216" s="131"/>
      <c r="U216" s="131"/>
      <c r="V216" s="131"/>
      <c r="W216" s="131">
        <f>W215</f>
        <v>15034.168999999998</v>
      </c>
      <c r="X216" s="130">
        <f t="shared" si="126"/>
        <v>16838.26928</v>
      </c>
      <c r="Y216" s="131"/>
      <c r="Z216" s="131">
        <f t="shared" si="122"/>
        <v>15034.168999999998</v>
      </c>
      <c r="AA216" s="131">
        <f t="shared" si="122"/>
        <v>16838.26928</v>
      </c>
      <c r="AB216" s="131"/>
      <c r="AC216" s="131">
        <f>AC215</f>
        <v>0</v>
      </c>
      <c r="AD216" s="131">
        <f>AD215</f>
        <v>0</v>
      </c>
      <c r="AE216" s="131"/>
      <c r="AF216" s="131">
        <f>AF215</f>
        <v>0</v>
      </c>
      <c r="AG216" s="130">
        <f t="shared" si="127"/>
        <v>0</v>
      </c>
      <c r="AH216" s="131"/>
      <c r="AI216" s="130">
        <f>AI215</f>
        <v>0</v>
      </c>
      <c r="AJ216" s="130">
        <f>AJ215</f>
        <v>0</v>
      </c>
      <c r="AK216" s="130"/>
      <c r="AL216" s="133" t="str">
        <f t="shared" si="124"/>
        <v/>
      </c>
      <c r="AM216" s="134">
        <f>AF216</f>
        <v>0</v>
      </c>
      <c r="AN216" s="134"/>
      <c r="AO216" s="134"/>
      <c r="AP216" s="130">
        <f>AF216</f>
        <v>0</v>
      </c>
      <c r="AQ216" s="130">
        <f t="shared" si="123"/>
        <v>0</v>
      </c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31"/>
      <c r="BH216" s="31"/>
      <c r="BI216" s="31"/>
      <c r="BJ216" s="31"/>
      <c r="BK216" s="31"/>
      <c r="BL216" s="31"/>
      <c r="BM216" s="31"/>
      <c r="BN216" s="31"/>
      <c r="BQ216" s="27"/>
      <c r="BR216" s="28"/>
      <c r="BS216" s="31"/>
    </row>
    <row r="217" spans="1:71" s="227" customFormat="1" ht="17.25" hidden="1" customHeight="1" outlineLevel="1" x14ac:dyDescent="0.35">
      <c r="A217" s="499"/>
      <c r="B217" s="470"/>
      <c r="C217" s="217" t="s">
        <v>72</v>
      </c>
      <c r="D217" s="217" t="s">
        <v>73</v>
      </c>
      <c r="E217" s="218"/>
      <c r="F217" s="218"/>
      <c r="G217" s="494"/>
      <c r="H217" s="497"/>
      <c r="I217" s="219"/>
      <c r="J217" s="219"/>
      <c r="K217" s="442"/>
      <c r="L217" s="504"/>
      <c r="M217" s="459" t="s">
        <v>113</v>
      </c>
      <c r="N217" s="220">
        <f t="shared" si="121"/>
        <v>0</v>
      </c>
      <c r="O217" s="220">
        <f t="shared" si="121"/>
        <v>0</v>
      </c>
      <c r="P217" s="220">
        <f t="shared" si="125"/>
        <v>0</v>
      </c>
      <c r="Q217" s="220"/>
      <c r="R217" s="454"/>
      <c r="S217" s="448"/>
      <c r="T217" s="221"/>
      <c r="U217" s="221"/>
      <c r="V217" s="221"/>
      <c r="W217" s="221"/>
      <c r="X217" s="222">
        <f t="shared" si="126"/>
        <v>0</v>
      </c>
      <c r="Y217" s="221"/>
      <c r="Z217" s="221">
        <f t="shared" si="122"/>
        <v>0</v>
      </c>
      <c r="AA217" s="221">
        <f t="shared" si="122"/>
        <v>0</v>
      </c>
      <c r="AB217" s="221">
        <f t="shared" si="122"/>
        <v>0</v>
      </c>
      <c r="AC217" s="221"/>
      <c r="AD217" s="221"/>
      <c r="AE217" s="221"/>
      <c r="AF217" s="221"/>
      <c r="AG217" s="222">
        <f t="shared" si="127"/>
        <v>0</v>
      </c>
      <c r="AH217" s="221"/>
      <c r="AI217" s="222">
        <f>AF217-AC217</f>
        <v>0</v>
      </c>
      <c r="AJ217" s="222">
        <f>AI217*1.12</f>
        <v>0</v>
      </c>
      <c r="AK217" s="222">
        <f>AH217-AE217</f>
        <v>0</v>
      </c>
      <c r="AL217" s="223" t="str">
        <f t="shared" si="124"/>
        <v/>
      </c>
      <c r="AM217" s="224"/>
      <c r="AN217" s="224"/>
      <c r="AO217" s="224"/>
      <c r="AP217" s="222"/>
      <c r="AQ217" s="222">
        <f t="shared" si="123"/>
        <v>0</v>
      </c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6"/>
      <c r="BH217" s="226"/>
      <c r="BI217" s="226"/>
      <c r="BJ217" s="226"/>
      <c r="BK217" s="226"/>
      <c r="BL217" s="226"/>
      <c r="BM217" s="226"/>
      <c r="BN217" s="226"/>
      <c r="BQ217" s="228"/>
      <c r="BR217" s="229"/>
      <c r="BS217" s="226"/>
    </row>
    <row r="218" spans="1:71" s="103" customFormat="1" ht="17.25" hidden="1" customHeight="1" outlineLevel="1" x14ac:dyDescent="0.35">
      <c r="A218" s="499"/>
      <c r="B218" s="470"/>
      <c r="C218" s="122" t="s">
        <v>74</v>
      </c>
      <c r="D218" s="122" t="s">
        <v>75</v>
      </c>
      <c r="E218" s="185"/>
      <c r="F218" s="185"/>
      <c r="G218" s="494"/>
      <c r="H218" s="497"/>
      <c r="I218" s="189"/>
      <c r="J218" s="189"/>
      <c r="K218" s="503"/>
      <c r="L218" s="505"/>
      <c r="M218" s="459"/>
      <c r="N218" s="125">
        <f t="shared" si="121"/>
        <v>0</v>
      </c>
      <c r="O218" s="125">
        <f t="shared" si="121"/>
        <v>0</v>
      </c>
      <c r="P218" s="125">
        <f t="shared" si="125"/>
        <v>0</v>
      </c>
      <c r="Q218" s="125">
        <f>Q217</f>
        <v>0</v>
      </c>
      <c r="R218" s="454"/>
      <c r="S218" s="448"/>
      <c r="T218" s="124"/>
      <c r="U218" s="124"/>
      <c r="V218" s="124"/>
      <c r="W218" s="124"/>
      <c r="X218" s="123">
        <f t="shared" si="126"/>
        <v>0</v>
      </c>
      <c r="Y218" s="124"/>
      <c r="Z218" s="124">
        <f t="shared" si="122"/>
        <v>0</v>
      </c>
      <c r="AA218" s="124">
        <f t="shared" si="122"/>
        <v>0</v>
      </c>
      <c r="AB218" s="124"/>
      <c r="AC218" s="124"/>
      <c r="AD218" s="124"/>
      <c r="AE218" s="124"/>
      <c r="AF218" s="124"/>
      <c r="AG218" s="123">
        <f t="shared" si="127"/>
        <v>0</v>
      </c>
      <c r="AH218" s="124"/>
      <c r="AI218" s="123">
        <f>AF218-AC218</f>
        <v>0</v>
      </c>
      <c r="AJ218" s="123">
        <f>AI218*1.12</f>
        <v>0</v>
      </c>
      <c r="AK218" s="123"/>
      <c r="AL218" s="126" t="str">
        <f t="shared" si="124"/>
        <v/>
      </c>
      <c r="AM218" s="127"/>
      <c r="AN218" s="127">
        <f>AF218</f>
        <v>0</v>
      </c>
      <c r="AO218" s="127"/>
      <c r="AP218" s="123">
        <f>AF218</f>
        <v>0</v>
      </c>
      <c r="AQ218" s="123">
        <f t="shared" si="123"/>
        <v>0</v>
      </c>
      <c r="AR218" s="123"/>
      <c r="AS218" s="123"/>
      <c r="AT218" s="123"/>
      <c r="AU218" s="123"/>
      <c r="AV218" s="123"/>
      <c r="AW218" s="123"/>
      <c r="AX218" s="123"/>
      <c r="AY218" s="123"/>
      <c r="AZ218" s="123"/>
      <c r="BA218" s="123"/>
      <c r="BB218" s="123"/>
      <c r="BC218" s="123"/>
      <c r="BD218" s="123"/>
      <c r="BE218" s="123"/>
      <c r="BF218" s="123"/>
      <c r="BG218" s="106"/>
      <c r="BH218" s="106"/>
      <c r="BI218" s="106"/>
      <c r="BJ218" s="106"/>
      <c r="BK218" s="106"/>
      <c r="BL218" s="106"/>
      <c r="BM218" s="106"/>
      <c r="BN218" s="106"/>
      <c r="BQ218" s="29"/>
      <c r="BR218" s="107"/>
      <c r="BS218" s="106"/>
    </row>
    <row r="219" spans="1:71" ht="17.25" hidden="1" customHeight="1" outlineLevel="1" x14ac:dyDescent="0.35">
      <c r="A219" s="499"/>
      <c r="B219" s="470"/>
      <c r="C219" s="129" t="s">
        <v>74</v>
      </c>
      <c r="D219" s="129" t="s">
        <v>76</v>
      </c>
      <c r="E219" s="187"/>
      <c r="F219" s="187"/>
      <c r="G219" s="494"/>
      <c r="H219" s="497"/>
      <c r="I219" s="191"/>
      <c r="J219" s="191"/>
      <c r="K219" s="443"/>
      <c r="L219" s="506"/>
      <c r="M219" s="459"/>
      <c r="N219" s="132">
        <f t="shared" si="121"/>
        <v>0</v>
      </c>
      <c r="O219" s="132">
        <f t="shared" si="121"/>
        <v>0</v>
      </c>
      <c r="P219" s="132">
        <f t="shared" si="125"/>
        <v>0</v>
      </c>
      <c r="Q219" s="132">
        <f>Q218</f>
        <v>0</v>
      </c>
      <c r="R219" s="454"/>
      <c r="S219" s="448"/>
      <c r="T219" s="131"/>
      <c r="U219" s="131"/>
      <c r="V219" s="131"/>
      <c r="W219" s="131">
        <f>W218</f>
        <v>0</v>
      </c>
      <c r="X219" s="130">
        <f t="shared" si="126"/>
        <v>0</v>
      </c>
      <c r="Y219" s="131"/>
      <c r="Z219" s="131">
        <f t="shared" si="122"/>
        <v>0</v>
      </c>
      <c r="AA219" s="131">
        <f t="shared" si="122"/>
        <v>0</v>
      </c>
      <c r="AB219" s="131"/>
      <c r="AC219" s="131"/>
      <c r="AD219" s="131"/>
      <c r="AE219" s="131"/>
      <c r="AF219" s="131">
        <f>AF218</f>
        <v>0</v>
      </c>
      <c r="AG219" s="130">
        <f t="shared" si="127"/>
        <v>0</v>
      </c>
      <c r="AH219" s="131"/>
      <c r="AI219" s="130">
        <f>AI218</f>
        <v>0</v>
      </c>
      <c r="AJ219" s="130">
        <f>AJ218</f>
        <v>0</v>
      </c>
      <c r="AK219" s="130"/>
      <c r="AL219" s="133" t="str">
        <f t="shared" si="124"/>
        <v/>
      </c>
      <c r="AM219" s="134"/>
      <c r="AN219" s="134">
        <f>AF219</f>
        <v>0</v>
      </c>
      <c r="AO219" s="134"/>
      <c r="AP219" s="130">
        <f>AF219</f>
        <v>0</v>
      </c>
      <c r="AQ219" s="130">
        <f t="shared" si="123"/>
        <v>0</v>
      </c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31"/>
      <c r="BH219" s="31"/>
      <c r="BI219" s="31"/>
      <c r="BJ219" s="31"/>
      <c r="BK219" s="31"/>
      <c r="BL219" s="31"/>
      <c r="BM219" s="31"/>
      <c r="BN219" s="31"/>
      <c r="BQ219" s="27"/>
      <c r="BR219" s="28"/>
      <c r="BS219" s="31"/>
    </row>
    <row r="220" spans="1:71" s="227" customFormat="1" ht="17.25" hidden="1" customHeight="1" outlineLevel="1" x14ac:dyDescent="0.35">
      <c r="A220" s="499"/>
      <c r="B220" s="470"/>
      <c r="C220" s="217" t="s">
        <v>72</v>
      </c>
      <c r="D220" s="217" t="s">
        <v>73</v>
      </c>
      <c r="E220" s="218"/>
      <c r="F220" s="218"/>
      <c r="G220" s="494"/>
      <c r="H220" s="497"/>
      <c r="I220" s="219"/>
      <c r="J220" s="219"/>
      <c r="K220" s="442"/>
      <c r="L220" s="454"/>
      <c r="M220" s="459" t="s">
        <v>113</v>
      </c>
      <c r="N220" s="220">
        <f t="shared" si="121"/>
        <v>0</v>
      </c>
      <c r="O220" s="220">
        <f t="shared" si="121"/>
        <v>0</v>
      </c>
      <c r="P220" s="220">
        <f t="shared" si="125"/>
        <v>0</v>
      </c>
      <c r="Q220" s="220"/>
      <c r="R220" s="454"/>
      <c r="S220" s="448"/>
      <c r="T220" s="221"/>
      <c r="U220" s="221"/>
      <c r="V220" s="221"/>
      <c r="W220" s="221"/>
      <c r="X220" s="222">
        <f t="shared" si="126"/>
        <v>0</v>
      </c>
      <c r="Y220" s="221"/>
      <c r="Z220" s="221">
        <f t="shared" si="122"/>
        <v>0</v>
      </c>
      <c r="AA220" s="221">
        <f t="shared" si="122"/>
        <v>0</v>
      </c>
      <c r="AB220" s="221">
        <f t="shared" si="122"/>
        <v>0</v>
      </c>
      <c r="AC220" s="221"/>
      <c r="AD220" s="221"/>
      <c r="AE220" s="221"/>
      <c r="AF220" s="221"/>
      <c r="AG220" s="222">
        <f t="shared" si="127"/>
        <v>0</v>
      </c>
      <c r="AH220" s="221"/>
      <c r="AI220" s="222">
        <f>AF220-AC220</f>
        <v>0</v>
      </c>
      <c r="AJ220" s="222">
        <f>AI220*1.12</f>
        <v>0</v>
      </c>
      <c r="AK220" s="222">
        <f>AH220-AE220</f>
        <v>0</v>
      </c>
      <c r="AL220" s="223" t="str">
        <f t="shared" si="124"/>
        <v/>
      </c>
      <c r="AM220" s="224"/>
      <c r="AN220" s="224"/>
      <c r="AO220" s="224"/>
      <c r="AP220" s="222"/>
      <c r="AQ220" s="222">
        <f t="shared" si="123"/>
        <v>0</v>
      </c>
      <c r="AR220" s="222"/>
      <c r="AS220" s="222"/>
      <c r="AT220" s="222"/>
      <c r="AU220" s="222"/>
      <c r="AV220" s="222"/>
      <c r="AW220" s="222"/>
      <c r="AX220" s="222"/>
      <c r="AY220" s="222"/>
      <c r="AZ220" s="225"/>
      <c r="BA220" s="222"/>
      <c r="BB220" s="222"/>
      <c r="BC220" s="222"/>
      <c r="BD220" s="222"/>
      <c r="BE220" s="222"/>
      <c r="BF220" s="222"/>
      <c r="BG220" s="226"/>
      <c r="BH220" s="226"/>
      <c r="BI220" s="226"/>
      <c r="BJ220" s="226"/>
      <c r="BK220" s="226"/>
      <c r="BL220" s="226"/>
      <c r="BM220" s="226"/>
      <c r="BN220" s="226"/>
      <c r="BQ220" s="228"/>
      <c r="BR220" s="229"/>
      <c r="BS220" s="226"/>
    </row>
    <row r="221" spans="1:71" s="103" customFormat="1" ht="17.25" hidden="1" customHeight="1" outlineLevel="1" x14ac:dyDescent="0.35">
      <c r="A221" s="499"/>
      <c r="B221" s="470"/>
      <c r="C221" s="122" t="s">
        <v>74</v>
      </c>
      <c r="D221" s="122" t="s">
        <v>75</v>
      </c>
      <c r="E221" s="185"/>
      <c r="F221" s="185"/>
      <c r="G221" s="494"/>
      <c r="H221" s="497"/>
      <c r="I221" s="189"/>
      <c r="J221" s="189"/>
      <c r="K221" s="503"/>
      <c r="L221" s="454"/>
      <c r="M221" s="459"/>
      <c r="N221" s="125">
        <f t="shared" si="121"/>
        <v>0</v>
      </c>
      <c r="O221" s="125">
        <f t="shared" si="121"/>
        <v>0</v>
      </c>
      <c r="P221" s="125">
        <f t="shared" si="125"/>
        <v>0</v>
      </c>
      <c r="Q221" s="125">
        <f>Q220</f>
        <v>0</v>
      </c>
      <c r="R221" s="454"/>
      <c r="S221" s="448"/>
      <c r="T221" s="124"/>
      <c r="U221" s="124"/>
      <c r="V221" s="124"/>
      <c r="W221" s="124"/>
      <c r="X221" s="123">
        <f t="shared" si="126"/>
        <v>0</v>
      </c>
      <c r="Y221" s="124"/>
      <c r="Z221" s="124">
        <f t="shared" si="122"/>
        <v>0</v>
      </c>
      <c r="AA221" s="124">
        <f t="shared" si="122"/>
        <v>0</v>
      </c>
      <c r="AB221" s="124"/>
      <c r="AC221" s="124"/>
      <c r="AD221" s="124"/>
      <c r="AE221" s="124"/>
      <c r="AF221" s="124"/>
      <c r="AG221" s="123">
        <f t="shared" si="127"/>
        <v>0</v>
      </c>
      <c r="AH221" s="124"/>
      <c r="AI221" s="123">
        <f>AF221-AC221</f>
        <v>0</v>
      </c>
      <c r="AJ221" s="123">
        <f>AI221*1.12</f>
        <v>0</v>
      </c>
      <c r="AK221" s="123"/>
      <c r="AL221" s="126" t="str">
        <f t="shared" si="124"/>
        <v/>
      </c>
      <c r="AM221" s="127"/>
      <c r="AN221" s="127">
        <f>AF221</f>
        <v>0</v>
      </c>
      <c r="AO221" s="127"/>
      <c r="AP221" s="123">
        <f>AF221</f>
        <v>0</v>
      </c>
      <c r="AQ221" s="123">
        <f t="shared" si="123"/>
        <v>0</v>
      </c>
      <c r="AR221" s="123"/>
      <c r="AS221" s="123"/>
      <c r="AT221" s="123"/>
      <c r="AU221" s="123"/>
      <c r="AV221" s="123"/>
      <c r="AW221" s="123"/>
      <c r="AX221" s="123"/>
      <c r="AY221" s="123"/>
      <c r="AZ221" s="123"/>
      <c r="BA221" s="123"/>
      <c r="BB221" s="123"/>
      <c r="BC221" s="123"/>
      <c r="BD221" s="123"/>
      <c r="BE221" s="123"/>
      <c r="BF221" s="123"/>
      <c r="BG221" s="106"/>
      <c r="BH221" s="106"/>
      <c r="BI221" s="106"/>
      <c r="BJ221" s="106"/>
      <c r="BK221" s="106"/>
      <c r="BL221" s="106"/>
      <c r="BM221" s="106"/>
      <c r="BN221" s="106"/>
      <c r="BQ221" s="29"/>
      <c r="BR221" s="107"/>
      <c r="BS221" s="106"/>
    </row>
    <row r="222" spans="1:71" ht="17.25" hidden="1" customHeight="1" outlineLevel="1" x14ac:dyDescent="0.35">
      <c r="A222" s="439"/>
      <c r="B222" s="437"/>
      <c r="C222" s="129" t="s">
        <v>74</v>
      </c>
      <c r="D222" s="129" t="s">
        <v>76</v>
      </c>
      <c r="E222" s="187"/>
      <c r="F222" s="187"/>
      <c r="G222" s="495"/>
      <c r="H222" s="498"/>
      <c r="I222" s="191"/>
      <c r="J222" s="191"/>
      <c r="K222" s="443"/>
      <c r="L222" s="454"/>
      <c r="M222" s="459"/>
      <c r="N222" s="132">
        <f t="shared" si="121"/>
        <v>0</v>
      </c>
      <c r="O222" s="132">
        <f t="shared" si="121"/>
        <v>0</v>
      </c>
      <c r="P222" s="132">
        <f t="shared" si="125"/>
        <v>0</v>
      </c>
      <c r="Q222" s="132">
        <f>Q221</f>
        <v>0</v>
      </c>
      <c r="R222" s="454"/>
      <c r="S222" s="448"/>
      <c r="T222" s="131"/>
      <c r="U222" s="131"/>
      <c r="V222" s="131"/>
      <c r="W222" s="131">
        <f>W221</f>
        <v>0</v>
      </c>
      <c r="X222" s="130">
        <f t="shared" si="126"/>
        <v>0</v>
      </c>
      <c r="Y222" s="131"/>
      <c r="Z222" s="131">
        <f t="shared" si="122"/>
        <v>0</v>
      </c>
      <c r="AA222" s="131">
        <f t="shared" si="122"/>
        <v>0</v>
      </c>
      <c r="AB222" s="131"/>
      <c r="AC222" s="131"/>
      <c r="AD222" s="131"/>
      <c r="AE222" s="131"/>
      <c r="AF222" s="131">
        <f>AF221</f>
        <v>0</v>
      </c>
      <c r="AG222" s="130">
        <f t="shared" si="127"/>
        <v>0</v>
      </c>
      <c r="AH222" s="131"/>
      <c r="AI222" s="130">
        <f>AI221</f>
        <v>0</v>
      </c>
      <c r="AJ222" s="130">
        <f>AJ221</f>
        <v>0</v>
      </c>
      <c r="AK222" s="130"/>
      <c r="AL222" s="133" t="str">
        <f t="shared" si="124"/>
        <v/>
      </c>
      <c r="AM222" s="134"/>
      <c r="AN222" s="134">
        <f>AF222</f>
        <v>0</v>
      </c>
      <c r="AO222" s="134"/>
      <c r="AP222" s="130">
        <f>AF222</f>
        <v>0</v>
      </c>
      <c r="AQ222" s="130">
        <f t="shared" si="123"/>
        <v>0</v>
      </c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31"/>
      <c r="BH222" s="31"/>
      <c r="BI222" s="31"/>
      <c r="BJ222" s="31"/>
      <c r="BK222" s="31"/>
      <c r="BL222" s="31"/>
      <c r="BM222" s="31"/>
      <c r="BN222" s="31"/>
      <c r="BQ222" s="27"/>
      <c r="BR222" s="28"/>
      <c r="BS222" s="31"/>
    </row>
    <row r="223" spans="1:71" s="212" customFormat="1" hidden="1" collapsed="1" x14ac:dyDescent="0.35">
      <c r="A223" s="438"/>
      <c r="B223" s="436" t="s">
        <v>147</v>
      </c>
      <c r="C223" s="202"/>
      <c r="D223" s="202"/>
      <c r="E223" s="203">
        <f>E225+E228+E231</f>
        <v>0</v>
      </c>
      <c r="F223" s="203">
        <f>F225+F228+F231</f>
        <v>0</v>
      </c>
      <c r="G223" s="204"/>
      <c r="H223" s="203">
        <f>H225+H228+H231</f>
        <v>0</v>
      </c>
      <c r="I223" s="203">
        <f>I225+I228+I231</f>
        <v>0</v>
      </c>
      <c r="J223" s="203">
        <f>J225+J228+J231</f>
        <v>0</v>
      </c>
      <c r="K223" s="486" t="s">
        <v>148</v>
      </c>
      <c r="L223" s="487"/>
      <c r="M223" s="500" t="s">
        <v>113</v>
      </c>
      <c r="N223" s="205">
        <f t="shared" ref="N223:Q224" si="128">N225+N228+N231</f>
        <v>84230891.482142851</v>
      </c>
      <c r="O223" s="205">
        <f t="shared" si="128"/>
        <v>94338598.460000008</v>
      </c>
      <c r="P223" s="205">
        <f t="shared" si="128"/>
        <v>84230891.482142851</v>
      </c>
      <c r="Q223" s="205">
        <f t="shared" si="128"/>
        <v>94338598.460000008</v>
      </c>
      <c r="R223" s="206"/>
      <c r="S223" s="492">
        <f>S225+S228+S231</f>
        <v>50</v>
      </c>
      <c r="T223" s="203">
        <f t="shared" ref="T223:AK224" si="129">T225+T228+T231</f>
        <v>0</v>
      </c>
      <c r="U223" s="203">
        <f t="shared" si="129"/>
        <v>0</v>
      </c>
      <c r="V223" s="203">
        <f t="shared" si="129"/>
        <v>0</v>
      </c>
      <c r="W223" s="203">
        <f t="shared" si="129"/>
        <v>55686</v>
      </c>
      <c r="X223" s="203">
        <f t="shared" si="129"/>
        <v>62368.320000000007</v>
      </c>
      <c r="Y223" s="203">
        <f t="shared" si="129"/>
        <v>50</v>
      </c>
      <c r="Z223" s="203">
        <f t="shared" si="129"/>
        <v>55686</v>
      </c>
      <c r="AA223" s="203">
        <f t="shared" si="129"/>
        <v>62368.320000000007</v>
      </c>
      <c r="AB223" s="203">
        <f t="shared" si="129"/>
        <v>50</v>
      </c>
      <c r="AC223" s="203">
        <f t="shared" si="129"/>
        <v>0</v>
      </c>
      <c r="AD223" s="203">
        <f t="shared" si="129"/>
        <v>0</v>
      </c>
      <c r="AE223" s="203">
        <f t="shared" si="129"/>
        <v>0</v>
      </c>
      <c r="AF223" s="203">
        <f t="shared" si="129"/>
        <v>0</v>
      </c>
      <c r="AG223" s="203">
        <f t="shared" si="129"/>
        <v>0</v>
      </c>
      <c r="AH223" s="203">
        <f t="shared" si="129"/>
        <v>0</v>
      </c>
      <c r="AI223" s="203">
        <f>AI225+AI228+AI231</f>
        <v>0</v>
      </c>
      <c r="AJ223" s="203">
        <f t="shared" si="129"/>
        <v>0</v>
      </c>
      <c r="AK223" s="203">
        <f t="shared" si="129"/>
        <v>0</v>
      </c>
      <c r="AL223" s="208" t="str">
        <f t="shared" si="124"/>
        <v/>
      </c>
      <c r="AM223" s="203">
        <f t="shared" ref="AM223:BF224" si="130">AM225+AM228+AM231</f>
        <v>0</v>
      </c>
      <c r="AN223" s="203">
        <f t="shared" si="130"/>
        <v>0</v>
      </c>
      <c r="AO223" s="203">
        <f t="shared" si="130"/>
        <v>0</v>
      </c>
      <c r="AP223" s="203">
        <f t="shared" si="130"/>
        <v>0</v>
      </c>
      <c r="AQ223" s="203">
        <f t="shared" si="130"/>
        <v>0</v>
      </c>
      <c r="AR223" s="203">
        <f t="shared" si="130"/>
        <v>0</v>
      </c>
      <c r="AS223" s="203">
        <f t="shared" si="130"/>
        <v>0</v>
      </c>
      <c r="AT223" s="203">
        <f t="shared" si="130"/>
        <v>0</v>
      </c>
      <c r="AU223" s="203">
        <f t="shared" si="130"/>
        <v>0</v>
      </c>
      <c r="AV223" s="203">
        <f t="shared" si="130"/>
        <v>0</v>
      </c>
      <c r="AW223" s="203">
        <f t="shared" si="130"/>
        <v>0</v>
      </c>
      <c r="AX223" s="203">
        <f t="shared" si="130"/>
        <v>0</v>
      </c>
      <c r="AY223" s="203">
        <f t="shared" si="130"/>
        <v>0</v>
      </c>
      <c r="AZ223" s="203">
        <f t="shared" si="130"/>
        <v>0</v>
      </c>
      <c r="BA223" s="203">
        <f t="shared" si="130"/>
        <v>0</v>
      </c>
      <c r="BB223" s="203">
        <f t="shared" si="130"/>
        <v>0</v>
      </c>
      <c r="BC223" s="203">
        <f t="shared" si="130"/>
        <v>0</v>
      </c>
      <c r="BD223" s="203">
        <f t="shared" si="130"/>
        <v>0</v>
      </c>
      <c r="BE223" s="203">
        <f t="shared" si="130"/>
        <v>0</v>
      </c>
      <c r="BF223" s="203">
        <f t="shared" si="130"/>
        <v>0</v>
      </c>
      <c r="BG223" s="209" t="s">
        <v>84</v>
      </c>
      <c r="BH223" s="210"/>
      <c r="BI223" s="207">
        <f>BI225+BI228+BI493+BI498+BI502</f>
        <v>0</v>
      </c>
      <c r="BJ223" s="207">
        <f>BJ225+BJ228+BJ493+BJ498+BJ502</f>
        <v>0</v>
      </c>
      <c r="BK223" s="207">
        <f>BK225+BK228+BK493+BK498+BK502</f>
        <v>0</v>
      </c>
      <c r="BL223" s="211"/>
      <c r="BM223" s="211"/>
      <c r="BN223" s="210"/>
      <c r="BQ223" s="213"/>
      <c r="BR223" s="214"/>
      <c r="BS223" s="210"/>
    </row>
    <row r="224" spans="1:71" s="212" customFormat="1" hidden="1" x14ac:dyDescent="0.35">
      <c r="A224" s="499"/>
      <c r="B224" s="470"/>
      <c r="C224" s="202"/>
      <c r="D224" s="202"/>
      <c r="E224" s="203">
        <f>E226+E229+E232</f>
        <v>0</v>
      </c>
      <c r="F224" s="203">
        <f>F226+F229+F232</f>
        <v>0</v>
      </c>
      <c r="G224" s="204"/>
      <c r="H224" s="203"/>
      <c r="I224" s="203">
        <f>I226+I229+I232</f>
        <v>0</v>
      </c>
      <c r="J224" s="203">
        <f>J226+J229+J232</f>
        <v>0</v>
      </c>
      <c r="K224" s="488"/>
      <c r="L224" s="489"/>
      <c r="M224" s="500"/>
      <c r="N224" s="205">
        <f t="shared" si="128"/>
        <v>84230891.482142851</v>
      </c>
      <c r="O224" s="205">
        <f t="shared" si="128"/>
        <v>94338598.460000008</v>
      </c>
      <c r="P224" s="205">
        <f t="shared" si="128"/>
        <v>84230891.482142851</v>
      </c>
      <c r="Q224" s="205">
        <f t="shared" si="128"/>
        <v>94338598.460000008</v>
      </c>
      <c r="R224" s="206"/>
      <c r="S224" s="492"/>
      <c r="T224" s="203">
        <f t="shared" si="129"/>
        <v>0</v>
      </c>
      <c r="U224" s="203">
        <f t="shared" si="129"/>
        <v>0</v>
      </c>
      <c r="V224" s="216"/>
      <c r="W224" s="203">
        <f t="shared" si="129"/>
        <v>50803.606249999997</v>
      </c>
      <c r="X224" s="203">
        <f t="shared" si="129"/>
        <v>56900.039000000004</v>
      </c>
      <c r="Y224" s="216"/>
      <c r="Z224" s="203">
        <f t="shared" si="129"/>
        <v>50803.606249999997</v>
      </c>
      <c r="AA224" s="203">
        <f t="shared" si="129"/>
        <v>56900.039000000004</v>
      </c>
      <c r="AB224" s="216"/>
      <c r="AC224" s="203">
        <f t="shared" si="129"/>
        <v>0</v>
      </c>
      <c r="AD224" s="203">
        <f t="shared" si="129"/>
        <v>0</v>
      </c>
      <c r="AE224" s="216"/>
      <c r="AF224" s="203">
        <f t="shared" si="129"/>
        <v>0</v>
      </c>
      <c r="AG224" s="203">
        <f t="shared" si="129"/>
        <v>0</v>
      </c>
      <c r="AH224" s="216"/>
      <c r="AI224" s="203">
        <f t="shared" si="129"/>
        <v>0</v>
      </c>
      <c r="AJ224" s="203">
        <f t="shared" si="129"/>
        <v>0</v>
      </c>
      <c r="AK224" s="216"/>
      <c r="AL224" s="208" t="str">
        <f t="shared" si="124"/>
        <v/>
      </c>
      <c r="AM224" s="203">
        <f t="shared" si="130"/>
        <v>0</v>
      </c>
      <c r="AN224" s="203">
        <f t="shared" si="130"/>
        <v>0</v>
      </c>
      <c r="AO224" s="203">
        <f t="shared" si="130"/>
        <v>0</v>
      </c>
      <c r="AP224" s="203">
        <f t="shared" si="130"/>
        <v>0</v>
      </c>
      <c r="AQ224" s="203">
        <f t="shared" si="130"/>
        <v>0</v>
      </c>
      <c r="AR224" s="203">
        <f t="shared" si="130"/>
        <v>0</v>
      </c>
      <c r="AS224" s="203">
        <f t="shared" si="130"/>
        <v>0</v>
      </c>
      <c r="AT224" s="203">
        <f t="shared" si="130"/>
        <v>0</v>
      </c>
      <c r="AU224" s="203">
        <f t="shared" si="130"/>
        <v>0</v>
      </c>
      <c r="AV224" s="203">
        <f t="shared" si="130"/>
        <v>0</v>
      </c>
      <c r="AW224" s="203">
        <f t="shared" si="130"/>
        <v>0</v>
      </c>
      <c r="AX224" s="203">
        <f t="shared" si="130"/>
        <v>0</v>
      </c>
      <c r="AY224" s="203">
        <f t="shared" si="130"/>
        <v>0</v>
      </c>
      <c r="AZ224" s="203">
        <f t="shared" si="130"/>
        <v>0</v>
      </c>
      <c r="BA224" s="203">
        <f t="shared" si="130"/>
        <v>0</v>
      </c>
      <c r="BB224" s="203">
        <f t="shared" si="130"/>
        <v>0</v>
      </c>
      <c r="BC224" s="203">
        <f t="shared" si="130"/>
        <v>0</v>
      </c>
      <c r="BD224" s="203">
        <f t="shared" si="130"/>
        <v>0</v>
      </c>
      <c r="BE224" s="203">
        <f t="shared" si="130"/>
        <v>0</v>
      </c>
      <c r="BF224" s="203">
        <f t="shared" si="130"/>
        <v>0</v>
      </c>
      <c r="BG224" s="210"/>
      <c r="BH224" s="210"/>
      <c r="BI224" s="207">
        <f>BI226+BI229+BI491+BI494+BI500+BI503</f>
        <v>0</v>
      </c>
      <c r="BJ224" s="207">
        <f>BJ226+BJ229+BJ491+BJ494+BJ500+BJ503</f>
        <v>0</v>
      </c>
      <c r="BK224" s="207">
        <f>BK226+BK229+BK491+BK494+BK500+BK503</f>
        <v>0</v>
      </c>
      <c r="BL224" s="211"/>
      <c r="BM224" s="211"/>
      <c r="BN224" s="210"/>
      <c r="BQ224" s="213"/>
      <c r="BR224" s="214"/>
      <c r="BS224" s="210"/>
    </row>
    <row r="225" spans="1:71" s="227" customFormat="1" hidden="1" x14ac:dyDescent="0.35">
      <c r="A225" s="499"/>
      <c r="B225" s="470"/>
      <c r="C225" s="217" t="s">
        <v>72</v>
      </c>
      <c r="D225" s="217" t="s">
        <v>73</v>
      </c>
      <c r="E225" s="218">
        <f>I225</f>
        <v>0</v>
      </c>
      <c r="F225" s="218">
        <f>E225*1.12</f>
        <v>0</v>
      </c>
      <c r="G225" s="493">
        <v>1919</v>
      </c>
      <c r="H225" s="496"/>
      <c r="I225" s="219"/>
      <c r="J225" s="219">
        <f>I225*1.12</f>
        <v>0</v>
      </c>
      <c r="K225" s="483" t="s">
        <v>129</v>
      </c>
      <c r="L225" s="480" t="s">
        <v>130</v>
      </c>
      <c r="M225" s="459" t="s">
        <v>113</v>
      </c>
      <c r="N225" s="220">
        <f t="shared" ref="N225:O233" si="131">P225</f>
        <v>33692594</v>
      </c>
      <c r="O225" s="220">
        <f t="shared" si="131"/>
        <v>37735705.280000001</v>
      </c>
      <c r="P225" s="220">
        <f t="shared" ref="P225:P233" si="132">Q225/1.12</f>
        <v>33692594</v>
      </c>
      <c r="Q225" s="220">
        <v>37735705.280000001</v>
      </c>
      <c r="R225" s="454" t="s">
        <v>141</v>
      </c>
      <c r="S225" s="448">
        <v>20</v>
      </c>
      <c r="T225" s="221"/>
      <c r="U225" s="221"/>
      <c r="V225" s="221"/>
      <c r="W225" s="221">
        <f>9586+4373</f>
        <v>13959</v>
      </c>
      <c r="X225" s="222">
        <f t="shared" ref="X225:X233" si="133">W225*1.12</f>
        <v>15634.080000000002</v>
      </c>
      <c r="Y225" s="221">
        <f>14+6</f>
        <v>20</v>
      </c>
      <c r="Z225" s="221">
        <f t="shared" ref="Z225:AB233" si="134">T225+W225</f>
        <v>13959</v>
      </c>
      <c r="AA225" s="221">
        <f t="shared" si="134"/>
        <v>15634.080000000002</v>
      </c>
      <c r="AB225" s="221">
        <f t="shared" si="134"/>
        <v>20</v>
      </c>
      <c r="AC225" s="221"/>
      <c r="AD225" s="221">
        <f>AC225*1.12</f>
        <v>0</v>
      </c>
      <c r="AE225" s="221"/>
      <c r="AF225" s="221"/>
      <c r="AG225" s="222">
        <f t="shared" ref="AG225:AG233" si="135">AF225*1.12</f>
        <v>0</v>
      </c>
      <c r="AH225" s="221"/>
      <c r="AI225" s="222"/>
      <c r="AJ225" s="222">
        <f>AI225*1.12</f>
        <v>0</v>
      </c>
      <c r="AK225" s="222">
        <f>AH225-AE225</f>
        <v>0</v>
      </c>
      <c r="AL225" s="223" t="str">
        <f t="shared" si="124"/>
        <v/>
      </c>
      <c r="AM225" s="224"/>
      <c r="AN225" s="224"/>
      <c r="AO225" s="224"/>
      <c r="AP225" s="222"/>
      <c r="AQ225" s="222">
        <f t="shared" ref="AQ225:AQ233" si="136">AP225*1.12</f>
        <v>0</v>
      </c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6"/>
      <c r="BH225" s="226"/>
      <c r="BI225" s="226"/>
      <c r="BJ225" s="226"/>
      <c r="BK225" s="226"/>
      <c r="BL225" s="226"/>
      <c r="BM225" s="226"/>
      <c r="BN225" s="226"/>
      <c r="BQ225" s="228"/>
      <c r="BR225" s="229"/>
      <c r="BS225" s="226"/>
    </row>
    <row r="226" spans="1:71" s="103" customFormat="1" hidden="1" x14ac:dyDescent="0.35">
      <c r="A226" s="499"/>
      <c r="B226" s="470"/>
      <c r="C226" s="122" t="s">
        <v>74</v>
      </c>
      <c r="D226" s="122" t="s">
        <v>75</v>
      </c>
      <c r="E226" s="185">
        <f>E225</f>
        <v>0</v>
      </c>
      <c r="F226" s="185">
        <f>E226*1.12</f>
        <v>0</v>
      </c>
      <c r="G226" s="494"/>
      <c r="H226" s="497"/>
      <c r="I226" s="189">
        <f>I225</f>
        <v>0</v>
      </c>
      <c r="J226" s="189">
        <f>I226*1.12</f>
        <v>0</v>
      </c>
      <c r="K226" s="484"/>
      <c r="L226" s="481"/>
      <c r="M226" s="459"/>
      <c r="N226" s="125">
        <f t="shared" si="131"/>
        <v>33692594</v>
      </c>
      <c r="O226" s="125">
        <f t="shared" si="131"/>
        <v>37735705.280000001</v>
      </c>
      <c r="P226" s="125">
        <f t="shared" si="132"/>
        <v>33692594</v>
      </c>
      <c r="Q226" s="125">
        <f>Q225</f>
        <v>37735705.280000001</v>
      </c>
      <c r="R226" s="454"/>
      <c r="S226" s="448"/>
      <c r="T226" s="124"/>
      <c r="U226" s="124"/>
      <c r="V226" s="124"/>
      <c r="W226" s="124">
        <f>10479.11664/1.12+4077.84599/1.12</f>
        <v>12997.2880625</v>
      </c>
      <c r="X226" s="123">
        <f t="shared" si="133"/>
        <v>14556.962630000002</v>
      </c>
      <c r="Y226" s="124"/>
      <c r="Z226" s="124">
        <f t="shared" si="134"/>
        <v>12997.2880625</v>
      </c>
      <c r="AA226" s="124">
        <f t="shared" si="134"/>
        <v>14556.962630000002</v>
      </c>
      <c r="AB226" s="124"/>
      <c r="AC226" s="124"/>
      <c r="AD226" s="124">
        <f>AC226*1.12</f>
        <v>0</v>
      </c>
      <c r="AE226" s="124"/>
      <c r="AF226" s="124"/>
      <c r="AG226" s="123">
        <f t="shared" si="135"/>
        <v>0</v>
      </c>
      <c r="AH226" s="124"/>
      <c r="AI226" s="123"/>
      <c r="AJ226" s="123">
        <f>AI226*1.12</f>
        <v>0</v>
      </c>
      <c r="AK226" s="123"/>
      <c r="AL226" s="126" t="str">
        <f t="shared" si="124"/>
        <v/>
      </c>
      <c r="AM226" s="127">
        <f>AF226</f>
        <v>0</v>
      </c>
      <c r="AN226" s="127"/>
      <c r="AO226" s="127"/>
      <c r="AP226" s="123">
        <f>AF226</f>
        <v>0</v>
      </c>
      <c r="AQ226" s="123">
        <f t="shared" si="136"/>
        <v>0</v>
      </c>
      <c r="AR226" s="123"/>
      <c r="AS226" s="123"/>
      <c r="AT226" s="123"/>
      <c r="AU226" s="123"/>
      <c r="AV226" s="123"/>
      <c r="AW226" s="123"/>
      <c r="AX226" s="123"/>
      <c r="AY226" s="123"/>
      <c r="AZ226" s="123"/>
      <c r="BA226" s="123"/>
      <c r="BB226" s="123"/>
      <c r="BC226" s="123"/>
      <c r="BD226" s="123"/>
      <c r="BE226" s="123"/>
      <c r="BF226" s="123"/>
      <c r="BG226" s="106"/>
      <c r="BH226" s="106"/>
      <c r="BI226" s="106"/>
      <c r="BJ226" s="106"/>
      <c r="BK226" s="106"/>
      <c r="BL226" s="106"/>
      <c r="BM226" s="106"/>
      <c r="BN226" s="106"/>
      <c r="BQ226" s="29"/>
      <c r="BR226" s="107"/>
      <c r="BS226" s="106"/>
    </row>
    <row r="227" spans="1:71" ht="14.5" hidden="1" x14ac:dyDescent="0.35">
      <c r="A227" s="499"/>
      <c r="B227" s="470"/>
      <c r="C227" s="129" t="s">
        <v>74</v>
      </c>
      <c r="D227" s="129" t="s">
        <v>76</v>
      </c>
      <c r="E227" s="187">
        <f>E226</f>
        <v>0</v>
      </c>
      <c r="F227" s="187">
        <f>F226</f>
        <v>0</v>
      </c>
      <c r="G227" s="494"/>
      <c r="H227" s="497"/>
      <c r="I227" s="191">
        <f>I226</f>
        <v>0</v>
      </c>
      <c r="J227" s="191">
        <f>J226</f>
        <v>0</v>
      </c>
      <c r="K227" s="485"/>
      <c r="L227" s="482"/>
      <c r="M227" s="459"/>
      <c r="N227" s="132">
        <f t="shared" si="131"/>
        <v>33692594</v>
      </c>
      <c r="O227" s="132">
        <f t="shared" si="131"/>
        <v>37735705.280000001</v>
      </c>
      <c r="P227" s="132">
        <f t="shared" si="132"/>
        <v>33692594</v>
      </c>
      <c r="Q227" s="132">
        <f>Q226</f>
        <v>37735705.280000001</v>
      </c>
      <c r="R227" s="454"/>
      <c r="S227" s="448"/>
      <c r="T227" s="131"/>
      <c r="U227" s="131"/>
      <c r="V227" s="131"/>
      <c r="W227" s="131">
        <f>W226</f>
        <v>12997.2880625</v>
      </c>
      <c r="X227" s="130">
        <f t="shared" si="133"/>
        <v>14556.962630000002</v>
      </c>
      <c r="Y227" s="131"/>
      <c r="Z227" s="131">
        <f t="shared" si="134"/>
        <v>12997.2880625</v>
      </c>
      <c r="AA227" s="131">
        <f t="shared" si="134"/>
        <v>14556.962630000002</v>
      </c>
      <c r="AB227" s="131"/>
      <c r="AC227" s="131">
        <f>AC226</f>
        <v>0</v>
      </c>
      <c r="AD227" s="131">
        <f>AD226</f>
        <v>0</v>
      </c>
      <c r="AE227" s="131"/>
      <c r="AF227" s="131">
        <f>AF226</f>
        <v>0</v>
      </c>
      <c r="AG227" s="130">
        <f t="shared" si="135"/>
        <v>0</v>
      </c>
      <c r="AH227" s="131"/>
      <c r="AI227" s="130">
        <f>AI226</f>
        <v>0</v>
      </c>
      <c r="AJ227" s="130">
        <f>AJ226</f>
        <v>0</v>
      </c>
      <c r="AK227" s="130"/>
      <c r="AL227" s="133" t="str">
        <f t="shared" si="124"/>
        <v/>
      </c>
      <c r="AM227" s="134">
        <f>AF227</f>
        <v>0</v>
      </c>
      <c r="AN227" s="134"/>
      <c r="AO227" s="134"/>
      <c r="AP227" s="130">
        <f>AF227</f>
        <v>0</v>
      </c>
      <c r="AQ227" s="130">
        <f t="shared" si="136"/>
        <v>0</v>
      </c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31"/>
      <c r="BH227" s="31"/>
      <c r="BI227" s="31"/>
      <c r="BJ227" s="31"/>
      <c r="BK227" s="31"/>
      <c r="BL227" s="31"/>
      <c r="BM227" s="31"/>
      <c r="BN227" s="31"/>
      <c r="BQ227" s="27"/>
      <c r="BR227" s="28"/>
      <c r="BS227" s="31"/>
    </row>
    <row r="228" spans="1:71" s="227" customFormat="1" hidden="1" x14ac:dyDescent="0.35">
      <c r="A228" s="499"/>
      <c r="B228" s="470"/>
      <c r="C228" s="217" t="s">
        <v>72</v>
      </c>
      <c r="D228" s="217" t="s">
        <v>73</v>
      </c>
      <c r="E228" s="218"/>
      <c r="F228" s="218"/>
      <c r="G228" s="494"/>
      <c r="H228" s="497"/>
      <c r="I228" s="219"/>
      <c r="J228" s="219"/>
      <c r="K228" s="463" t="s">
        <v>149</v>
      </c>
      <c r="L228" s="502" t="s">
        <v>150</v>
      </c>
      <c r="M228" s="459" t="s">
        <v>113</v>
      </c>
      <c r="N228" s="220">
        <f t="shared" si="131"/>
        <v>33692000</v>
      </c>
      <c r="O228" s="220">
        <f t="shared" si="131"/>
        <v>37735040</v>
      </c>
      <c r="P228" s="220">
        <f t="shared" si="132"/>
        <v>33692000</v>
      </c>
      <c r="Q228" s="220">
        <v>37735040</v>
      </c>
      <c r="R228" s="454" t="s">
        <v>141</v>
      </c>
      <c r="S228" s="448">
        <v>20</v>
      </c>
      <c r="T228" s="221"/>
      <c r="U228" s="221"/>
      <c r="V228" s="221"/>
      <c r="W228" s="221">
        <f>18473+10739</f>
        <v>29212</v>
      </c>
      <c r="X228" s="222">
        <f t="shared" si="133"/>
        <v>32717.440000000002</v>
      </c>
      <c r="Y228" s="221">
        <f>13+7</f>
        <v>20</v>
      </c>
      <c r="Z228" s="221">
        <f t="shared" si="134"/>
        <v>29212</v>
      </c>
      <c r="AA228" s="221">
        <f t="shared" si="134"/>
        <v>32717.440000000002</v>
      </c>
      <c r="AB228" s="221">
        <f t="shared" si="134"/>
        <v>20</v>
      </c>
      <c r="AC228" s="221"/>
      <c r="AD228" s="221"/>
      <c r="AE228" s="221"/>
      <c r="AF228" s="221"/>
      <c r="AG228" s="222">
        <f t="shared" si="135"/>
        <v>0</v>
      </c>
      <c r="AH228" s="221"/>
      <c r="AI228" s="222"/>
      <c r="AJ228" s="222">
        <f>AI228*1.12</f>
        <v>0</v>
      </c>
      <c r="AK228" s="222">
        <f>AH228-AE228</f>
        <v>0</v>
      </c>
      <c r="AL228" s="223" t="str">
        <f t="shared" si="124"/>
        <v/>
      </c>
      <c r="AM228" s="224"/>
      <c r="AN228" s="224"/>
      <c r="AO228" s="224"/>
      <c r="AP228" s="222"/>
      <c r="AQ228" s="222">
        <f t="shared" si="136"/>
        <v>0</v>
      </c>
      <c r="AR228" s="222"/>
      <c r="AS228" s="222"/>
      <c r="AT228" s="222"/>
      <c r="AU228" s="222"/>
      <c r="AV228" s="222"/>
      <c r="AW228" s="222"/>
      <c r="AX228" s="222"/>
      <c r="AY228" s="222"/>
      <c r="AZ228" s="225"/>
      <c r="BA228" s="222"/>
      <c r="BB228" s="222"/>
      <c r="BC228" s="222"/>
      <c r="BD228" s="222"/>
      <c r="BE228" s="222"/>
      <c r="BF228" s="222"/>
      <c r="BG228" s="226"/>
      <c r="BH228" s="226"/>
      <c r="BI228" s="226"/>
      <c r="BJ228" s="226"/>
      <c r="BK228" s="226"/>
      <c r="BL228" s="226"/>
      <c r="BM228" s="226"/>
      <c r="BN228" s="226"/>
      <c r="BQ228" s="228"/>
      <c r="BR228" s="229"/>
      <c r="BS228" s="226"/>
    </row>
    <row r="229" spans="1:71" s="103" customFormat="1" hidden="1" x14ac:dyDescent="0.35">
      <c r="A229" s="499"/>
      <c r="B229" s="470"/>
      <c r="C229" s="122" t="s">
        <v>74</v>
      </c>
      <c r="D229" s="122" t="s">
        <v>75</v>
      </c>
      <c r="E229" s="185"/>
      <c r="F229" s="185"/>
      <c r="G229" s="494"/>
      <c r="H229" s="497"/>
      <c r="I229" s="189"/>
      <c r="J229" s="189"/>
      <c r="K229" s="463"/>
      <c r="L229" s="502"/>
      <c r="M229" s="459"/>
      <c r="N229" s="125">
        <f t="shared" si="131"/>
        <v>33692000</v>
      </c>
      <c r="O229" s="125">
        <f t="shared" si="131"/>
        <v>37735040</v>
      </c>
      <c r="P229" s="125">
        <f t="shared" si="132"/>
        <v>33692000</v>
      </c>
      <c r="Q229" s="125">
        <f>Q228</f>
        <v>37735040</v>
      </c>
      <c r="R229" s="454"/>
      <c r="S229" s="448"/>
      <c r="T229" s="124"/>
      <c r="U229" s="124"/>
      <c r="V229" s="124"/>
      <c r="W229" s="124">
        <f>19345.37201/1.12+11468.51264/1.12</f>
        <v>27512.397008928565</v>
      </c>
      <c r="X229" s="123">
        <f t="shared" si="133"/>
        <v>30813.884649999996</v>
      </c>
      <c r="Y229" s="124"/>
      <c r="Z229" s="124">
        <f t="shared" si="134"/>
        <v>27512.397008928565</v>
      </c>
      <c r="AA229" s="124">
        <f t="shared" si="134"/>
        <v>30813.884649999996</v>
      </c>
      <c r="AB229" s="124"/>
      <c r="AC229" s="124"/>
      <c r="AD229" s="124">
        <f>AC229*1.12</f>
        <v>0</v>
      </c>
      <c r="AE229" s="124"/>
      <c r="AF229" s="124"/>
      <c r="AG229" s="123">
        <f t="shared" si="135"/>
        <v>0</v>
      </c>
      <c r="AH229" s="124"/>
      <c r="AI229" s="123"/>
      <c r="AJ229" s="123">
        <f>AI229*1.12</f>
        <v>0</v>
      </c>
      <c r="AK229" s="123"/>
      <c r="AL229" s="126" t="str">
        <f t="shared" si="124"/>
        <v/>
      </c>
      <c r="AM229" s="127">
        <f>AF229</f>
        <v>0</v>
      </c>
      <c r="AN229" s="127"/>
      <c r="AO229" s="127"/>
      <c r="AP229" s="123">
        <f>AF229</f>
        <v>0</v>
      </c>
      <c r="AQ229" s="123">
        <f t="shared" si="136"/>
        <v>0</v>
      </c>
      <c r="AR229" s="123"/>
      <c r="AS229" s="123"/>
      <c r="AT229" s="123"/>
      <c r="AU229" s="123"/>
      <c r="AV229" s="123"/>
      <c r="AW229" s="123"/>
      <c r="AX229" s="123"/>
      <c r="AY229" s="123"/>
      <c r="AZ229" s="123"/>
      <c r="BA229" s="123"/>
      <c r="BB229" s="123"/>
      <c r="BC229" s="123"/>
      <c r="BD229" s="123"/>
      <c r="BE229" s="123"/>
      <c r="BF229" s="123"/>
      <c r="BG229" s="106"/>
      <c r="BH229" s="106"/>
      <c r="BI229" s="106"/>
      <c r="BJ229" s="106"/>
      <c r="BK229" s="106"/>
      <c r="BL229" s="106"/>
      <c r="BM229" s="106"/>
      <c r="BN229" s="106"/>
      <c r="BQ229" s="29"/>
      <c r="BR229" s="107"/>
      <c r="BS229" s="106"/>
    </row>
    <row r="230" spans="1:71" ht="14.5" hidden="1" x14ac:dyDescent="0.35">
      <c r="A230" s="499"/>
      <c r="B230" s="470"/>
      <c r="C230" s="129" t="s">
        <v>74</v>
      </c>
      <c r="D230" s="129" t="s">
        <v>76</v>
      </c>
      <c r="E230" s="187"/>
      <c r="F230" s="187"/>
      <c r="G230" s="494"/>
      <c r="H230" s="497"/>
      <c r="I230" s="191"/>
      <c r="J230" s="191"/>
      <c r="K230" s="463"/>
      <c r="L230" s="502"/>
      <c r="M230" s="459"/>
      <c r="N230" s="132">
        <f t="shared" si="131"/>
        <v>33692000</v>
      </c>
      <c r="O230" s="132">
        <f t="shared" si="131"/>
        <v>37735040</v>
      </c>
      <c r="P230" s="132">
        <f t="shared" si="132"/>
        <v>33692000</v>
      </c>
      <c r="Q230" s="132">
        <f>Q229</f>
        <v>37735040</v>
      </c>
      <c r="R230" s="454"/>
      <c r="S230" s="448"/>
      <c r="T230" s="131"/>
      <c r="U230" s="131"/>
      <c r="V230" s="131"/>
      <c r="W230" s="131">
        <f>W229</f>
        <v>27512.397008928565</v>
      </c>
      <c r="X230" s="130">
        <f t="shared" si="133"/>
        <v>30813.884649999996</v>
      </c>
      <c r="Y230" s="131"/>
      <c r="Z230" s="131">
        <f t="shared" si="134"/>
        <v>27512.397008928565</v>
      </c>
      <c r="AA230" s="131">
        <f t="shared" si="134"/>
        <v>30813.884649999996</v>
      </c>
      <c r="AB230" s="131"/>
      <c r="AC230" s="131">
        <f>AC229</f>
        <v>0</v>
      </c>
      <c r="AD230" s="131">
        <f>AD229</f>
        <v>0</v>
      </c>
      <c r="AE230" s="131"/>
      <c r="AF230" s="131">
        <f>AF229</f>
        <v>0</v>
      </c>
      <c r="AG230" s="130">
        <f t="shared" si="135"/>
        <v>0</v>
      </c>
      <c r="AH230" s="131"/>
      <c r="AI230" s="130">
        <f>AI229</f>
        <v>0</v>
      </c>
      <c r="AJ230" s="130">
        <f>AJ229</f>
        <v>0</v>
      </c>
      <c r="AK230" s="130"/>
      <c r="AL230" s="133" t="str">
        <f t="shared" si="124"/>
        <v/>
      </c>
      <c r="AM230" s="134">
        <f>AF230</f>
        <v>0</v>
      </c>
      <c r="AN230" s="134"/>
      <c r="AO230" s="134"/>
      <c r="AP230" s="130">
        <f>AF230</f>
        <v>0</v>
      </c>
      <c r="AQ230" s="130">
        <f t="shared" si="136"/>
        <v>0</v>
      </c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31"/>
      <c r="BH230" s="31"/>
      <c r="BI230" s="31"/>
      <c r="BJ230" s="31"/>
      <c r="BK230" s="31"/>
      <c r="BL230" s="31"/>
      <c r="BM230" s="31"/>
      <c r="BN230" s="31"/>
      <c r="BQ230" s="27"/>
      <c r="BR230" s="28"/>
      <c r="BS230" s="31"/>
    </row>
    <row r="231" spans="1:71" s="227" customFormat="1" hidden="1" x14ac:dyDescent="0.35">
      <c r="A231" s="499"/>
      <c r="B231" s="470"/>
      <c r="C231" s="217" t="s">
        <v>72</v>
      </c>
      <c r="D231" s="217" t="s">
        <v>73</v>
      </c>
      <c r="E231" s="218"/>
      <c r="F231" s="218"/>
      <c r="G231" s="494"/>
      <c r="H231" s="497"/>
      <c r="I231" s="219"/>
      <c r="J231" s="219"/>
      <c r="K231" s="463" t="s">
        <v>133</v>
      </c>
      <c r="L231" s="502" t="s">
        <v>134</v>
      </c>
      <c r="M231" s="459" t="s">
        <v>113</v>
      </c>
      <c r="N231" s="220">
        <f t="shared" si="131"/>
        <v>16846297.482142854</v>
      </c>
      <c r="O231" s="220">
        <f t="shared" si="131"/>
        <v>18867853.18</v>
      </c>
      <c r="P231" s="220">
        <f t="shared" si="132"/>
        <v>16846297.482142854</v>
      </c>
      <c r="Q231" s="220">
        <v>18867853.18</v>
      </c>
      <c r="R231" s="454" t="s">
        <v>141</v>
      </c>
      <c r="S231" s="448">
        <v>10</v>
      </c>
      <c r="T231" s="221"/>
      <c r="U231" s="221"/>
      <c r="V231" s="221"/>
      <c r="W231" s="221">
        <f>11597+1289-371</f>
        <v>12515</v>
      </c>
      <c r="X231" s="222">
        <f t="shared" si="133"/>
        <v>14016.800000000001</v>
      </c>
      <c r="Y231" s="221">
        <f>5+3+1+1</f>
        <v>10</v>
      </c>
      <c r="Z231" s="221">
        <f t="shared" si="134"/>
        <v>12515</v>
      </c>
      <c r="AA231" s="221">
        <f t="shared" si="134"/>
        <v>14016.800000000001</v>
      </c>
      <c r="AB231" s="221">
        <f t="shared" si="134"/>
        <v>10</v>
      </c>
      <c r="AC231" s="221"/>
      <c r="AD231" s="221"/>
      <c r="AE231" s="221"/>
      <c r="AF231" s="221"/>
      <c r="AG231" s="222">
        <f t="shared" si="135"/>
        <v>0</v>
      </c>
      <c r="AH231" s="221"/>
      <c r="AI231" s="222"/>
      <c r="AJ231" s="222">
        <f>AI231*1.12</f>
        <v>0</v>
      </c>
      <c r="AK231" s="222">
        <f>AH231-AE231</f>
        <v>0</v>
      </c>
      <c r="AL231" s="223" t="str">
        <f t="shared" si="124"/>
        <v/>
      </c>
      <c r="AM231" s="224"/>
      <c r="AN231" s="224"/>
      <c r="AO231" s="224"/>
      <c r="AP231" s="222"/>
      <c r="AQ231" s="222">
        <f t="shared" si="136"/>
        <v>0</v>
      </c>
      <c r="AR231" s="222"/>
      <c r="AS231" s="222"/>
      <c r="AT231" s="222"/>
      <c r="AU231" s="222"/>
      <c r="AV231" s="222"/>
      <c r="AW231" s="222"/>
      <c r="AX231" s="222"/>
      <c r="AY231" s="222"/>
      <c r="AZ231" s="225"/>
      <c r="BA231" s="222"/>
      <c r="BB231" s="222"/>
      <c r="BC231" s="222"/>
      <c r="BD231" s="222"/>
      <c r="BE231" s="222"/>
      <c r="BF231" s="222"/>
      <c r="BG231" s="226"/>
      <c r="BH231" s="226"/>
      <c r="BI231" s="226"/>
      <c r="BJ231" s="226"/>
      <c r="BK231" s="226"/>
      <c r="BL231" s="226"/>
      <c r="BM231" s="226"/>
      <c r="BN231" s="226"/>
      <c r="BQ231" s="228"/>
      <c r="BR231" s="229"/>
      <c r="BS231" s="226"/>
    </row>
    <row r="232" spans="1:71" s="103" customFormat="1" hidden="1" x14ac:dyDescent="0.35">
      <c r="A232" s="499"/>
      <c r="B232" s="470"/>
      <c r="C232" s="122" t="s">
        <v>74</v>
      </c>
      <c r="D232" s="122" t="s">
        <v>75</v>
      </c>
      <c r="E232" s="185"/>
      <c r="F232" s="185"/>
      <c r="G232" s="494"/>
      <c r="H232" s="497"/>
      <c r="I232" s="189"/>
      <c r="J232" s="189"/>
      <c r="K232" s="463"/>
      <c r="L232" s="502"/>
      <c r="M232" s="459"/>
      <c r="N232" s="125">
        <f t="shared" si="131"/>
        <v>16846297.482142854</v>
      </c>
      <c r="O232" s="125">
        <f t="shared" si="131"/>
        <v>18867853.18</v>
      </c>
      <c r="P232" s="125">
        <f t="shared" si="132"/>
        <v>16846297.482142854</v>
      </c>
      <c r="Q232" s="125">
        <f>Q231</f>
        <v>18867853.18</v>
      </c>
      <c r="R232" s="454"/>
      <c r="S232" s="448"/>
      <c r="T232" s="124"/>
      <c r="U232" s="124"/>
      <c r="V232" s="124"/>
      <c r="W232" s="124">
        <f>6388.30668/1.12+3319.1545/1.12+881.02006/1.12+940.71048/1.12</f>
        <v>10293.921178571427</v>
      </c>
      <c r="X232" s="123">
        <f t="shared" si="133"/>
        <v>11529.191719999999</v>
      </c>
      <c r="Y232" s="124"/>
      <c r="Z232" s="124">
        <f t="shared" si="134"/>
        <v>10293.921178571427</v>
      </c>
      <c r="AA232" s="124">
        <f t="shared" si="134"/>
        <v>11529.191719999999</v>
      </c>
      <c r="AB232" s="124"/>
      <c r="AC232" s="124"/>
      <c r="AD232" s="124">
        <f>AC232*1.12</f>
        <v>0</v>
      </c>
      <c r="AE232" s="124"/>
      <c r="AF232" s="124"/>
      <c r="AG232" s="123">
        <f t="shared" si="135"/>
        <v>0</v>
      </c>
      <c r="AH232" s="124"/>
      <c r="AI232" s="123"/>
      <c r="AJ232" s="123">
        <f>AI232*1.12</f>
        <v>0</v>
      </c>
      <c r="AK232" s="123"/>
      <c r="AL232" s="126" t="str">
        <f t="shared" si="124"/>
        <v/>
      </c>
      <c r="AM232" s="127">
        <f>AF232</f>
        <v>0</v>
      </c>
      <c r="AN232" s="127"/>
      <c r="AO232" s="127"/>
      <c r="AP232" s="123">
        <f>AF232</f>
        <v>0</v>
      </c>
      <c r="AQ232" s="123">
        <f t="shared" si="136"/>
        <v>0</v>
      </c>
      <c r="AR232" s="123"/>
      <c r="AS232" s="123"/>
      <c r="AT232" s="123"/>
      <c r="AU232" s="123"/>
      <c r="AV232" s="123"/>
      <c r="AW232" s="123"/>
      <c r="AX232" s="123"/>
      <c r="AY232" s="123"/>
      <c r="AZ232" s="123"/>
      <c r="BA232" s="123"/>
      <c r="BB232" s="123"/>
      <c r="BC232" s="123"/>
      <c r="BD232" s="123"/>
      <c r="BE232" s="123"/>
      <c r="BF232" s="123"/>
      <c r="BG232" s="106"/>
      <c r="BH232" s="106"/>
      <c r="BI232" s="106"/>
      <c r="BJ232" s="106"/>
      <c r="BK232" s="106"/>
      <c r="BL232" s="106"/>
      <c r="BM232" s="106"/>
      <c r="BN232" s="106"/>
      <c r="BQ232" s="29"/>
      <c r="BR232" s="107"/>
      <c r="BS232" s="106"/>
    </row>
    <row r="233" spans="1:71" ht="14.5" hidden="1" x14ac:dyDescent="0.35">
      <c r="A233" s="439"/>
      <c r="B233" s="437"/>
      <c r="C233" s="129" t="s">
        <v>74</v>
      </c>
      <c r="D233" s="129" t="s">
        <v>76</v>
      </c>
      <c r="E233" s="187"/>
      <c r="F233" s="187"/>
      <c r="G233" s="495"/>
      <c r="H233" s="498"/>
      <c r="I233" s="191"/>
      <c r="J233" s="191"/>
      <c r="K233" s="463"/>
      <c r="L233" s="502"/>
      <c r="M233" s="459"/>
      <c r="N233" s="132">
        <f t="shared" si="131"/>
        <v>16846297.482142854</v>
      </c>
      <c r="O233" s="132">
        <f t="shared" si="131"/>
        <v>18867853.18</v>
      </c>
      <c r="P233" s="132">
        <f t="shared" si="132"/>
        <v>16846297.482142854</v>
      </c>
      <c r="Q233" s="132">
        <f>Q232</f>
        <v>18867853.18</v>
      </c>
      <c r="R233" s="454"/>
      <c r="S233" s="448"/>
      <c r="T233" s="131"/>
      <c r="U233" s="131"/>
      <c r="V233" s="131"/>
      <c r="W233" s="131">
        <f>W232</f>
        <v>10293.921178571427</v>
      </c>
      <c r="X233" s="130">
        <f t="shared" si="133"/>
        <v>11529.191719999999</v>
      </c>
      <c r="Y233" s="131"/>
      <c r="Z233" s="131">
        <f t="shared" si="134"/>
        <v>10293.921178571427</v>
      </c>
      <c r="AA233" s="131">
        <f t="shared" si="134"/>
        <v>11529.191719999999</v>
      </c>
      <c r="AB233" s="131"/>
      <c r="AC233" s="131">
        <f>AC232</f>
        <v>0</v>
      </c>
      <c r="AD233" s="131">
        <f>AD232</f>
        <v>0</v>
      </c>
      <c r="AE233" s="131"/>
      <c r="AF233" s="131">
        <f>AF232</f>
        <v>0</v>
      </c>
      <c r="AG233" s="130">
        <f t="shared" si="135"/>
        <v>0</v>
      </c>
      <c r="AH233" s="131"/>
      <c r="AI233" s="130">
        <f>AI232</f>
        <v>0</v>
      </c>
      <c r="AJ233" s="130">
        <f>AJ232</f>
        <v>0</v>
      </c>
      <c r="AK233" s="130"/>
      <c r="AL233" s="133" t="str">
        <f t="shared" si="124"/>
        <v/>
      </c>
      <c r="AM233" s="134">
        <f>AF233</f>
        <v>0</v>
      </c>
      <c r="AN233" s="134"/>
      <c r="AO233" s="134"/>
      <c r="AP233" s="130">
        <f>AF233</f>
        <v>0</v>
      </c>
      <c r="AQ233" s="130">
        <f t="shared" si="136"/>
        <v>0</v>
      </c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31"/>
      <c r="BH233" s="31"/>
      <c r="BI233" s="31"/>
      <c r="BJ233" s="31"/>
      <c r="BK233" s="31"/>
      <c r="BL233" s="31"/>
      <c r="BM233" s="31"/>
      <c r="BN233" s="31"/>
      <c r="BQ233" s="27"/>
      <c r="BR233" s="28"/>
      <c r="BS233" s="31"/>
    </row>
    <row r="234" spans="1:71" s="212" customFormat="1" x14ac:dyDescent="0.35">
      <c r="A234" s="438"/>
      <c r="B234" s="436" t="s">
        <v>151</v>
      </c>
      <c r="C234" s="202"/>
      <c r="D234" s="202"/>
      <c r="E234" s="203">
        <f>E236+E239+E242</f>
        <v>5347</v>
      </c>
      <c r="F234" s="203">
        <f>F236+F239+F242</f>
        <v>5988.64</v>
      </c>
      <c r="G234" s="204"/>
      <c r="H234" s="203">
        <f>H236+H239+H242</f>
        <v>3</v>
      </c>
      <c r="I234" s="203">
        <f>I236+I239+I242</f>
        <v>0</v>
      </c>
      <c r="J234" s="203">
        <f>J236+J239+J242</f>
        <v>0</v>
      </c>
      <c r="K234" s="486" t="s">
        <v>152</v>
      </c>
      <c r="L234" s="487"/>
      <c r="M234" s="500" t="s">
        <v>113</v>
      </c>
      <c r="N234" s="205">
        <f t="shared" ref="N234:Q235" si="137">N236+N239+N242</f>
        <v>5212429.9999999991</v>
      </c>
      <c r="O234" s="205">
        <f t="shared" si="137"/>
        <v>5837921.5999999996</v>
      </c>
      <c r="P234" s="205">
        <f t="shared" si="137"/>
        <v>5212429.9999999991</v>
      </c>
      <c r="Q234" s="205">
        <f t="shared" si="137"/>
        <v>5837921.5999999996</v>
      </c>
      <c r="R234" s="206"/>
      <c r="S234" s="492">
        <f>S236+S239+S242</f>
        <v>3</v>
      </c>
      <c r="T234" s="203">
        <f t="shared" ref="T234:AK235" si="138">T236+T239+T242</f>
        <v>0</v>
      </c>
      <c r="U234" s="203">
        <f t="shared" si="138"/>
        <v>0</v>
      </c>
      <c r="V234" s="203">
        <f t="shared" si="138"/>
        <v>0</v>
      </c>
      <c r="W234" s="203">
        <f t="shared" si="138"/>
        <v>2848</v>
      </c>
      <c r="X234" s="203">
        <f t="shared" si="138"/>
        <v>3189.76</v>
      </c>
      <c r="Y234" s="203">
        <f t="shared" si="138"/>
        <v>3</v>
      </c>
      <c r="Z234" s="203">
        <f t="shared" si="138"/>
        <v>2848</v>
      </c>
      <c r="AA234" s="203">
        <f t="shared" si="138"/>
        <v>3189.76</v>
      </c>
      <c r="AB234" s="203">
        <f t="shared" si="138"/>
        <v>3</v>
      </c>
      <c r="AC234" s="203">
        <f t="shared" si="138"/>
        <v>0</v>
      </c>
      <c r="AD234" s="203">
        <f t="shared" si="138"/>
        <v>0</v>
      </c>
      <c r="AE234" s="203">
        <f t="shared" si="138"/>
        <v>0</v>
      </c>
      <c r="AF234" s="203">
        <f t="shared" si="138"/>
        <v>0</v>
      </c>
      <c r="AG234" s="203">
        <f t="shared" si="138"/>
        <v>0</v>
      </c>
      <c r="AH234" s="203">
        <f t="shared" si="138"/>
        <v>0</v>
      </c>
      <c r="AI234" s="203">
        <f t="shared" si="138"/>
        <v>0</v>
      </c>
      <c r="AJ234" s="203">
        <f t="shared" si="138"/>
        <v>0</v>
      </c>
      <c r="AK234" s="203">
        <f t="shared" si="138"/>
        <v>0</v>
      </c>
      <c r="AL234" s="208" t="str">
        <f t="shared" si="124"/>
        <v/>
      </c>
      <c r="AM234" s="203">
        <f t="shared" ref="AM234:BF235" si="139">AM236+AM239+AM242</f>
        <v>0</v>
      </c>
      <c r="AN234" s="203">
        <f t="shared" si="139"/>
        <v>0</v>
      </c>
      <c r="AO234" s="203">
        <f t="shared" si="139"/>
        <v>0</v>
      </c>
      <c r="AP234" s="203">
        <f t="shared" si="139"/>
        <v>0</v>
      </c>
      <c r="AQ234" s="203">
        <f t="shared" si="139"/>
        <v>0</v>
      </c>
      <c r="AR234" s="203">
        <f t="shared" si="139"/>
        <v>0</v>
      </c>
      <c r="AS234" s="203">
        <f t="shared" si="139"/>
        <v>0</v>
      </c>
      <c r="AT234" s="203">
        <f t="shared" si="139"/>
        <v>0</v>
      </c>
      <c r="AU234" s="203">
        <f t="shared" si="139"/>
        <v>0</v>
      </c>
      <c r="AV234" s="203">
        <f t="shared" si="139"/>
        <v>0</v>
      </c>
      <c r="AW234" s="203">
        <f t="shared" si="139"/>
        <v>0</v>
      </c>
      <c r="AX234" s="203">
        <f t="shared" si="139"/>
        <v>0</v>
      </c>
      <c r="AY234" s="203">
        <f t="shared" si="139"/>
        <v>0</v>
      </c>
      <c r="AZ234" s="203">
        <f t="shared" si="139"/>
        <v>0</v>
      </c>
      <c r="BA234" s="203">
        <f t="shared" si="139"/>
        <v>0</v>
      </c>
      <c r="BB234" s="203">
        <f t="shared" si="139"/>
        <v>0</v>
      </c>
      <c r="BC234" s="203">
        <f t="shared" si="139"/>
        <v>0</v>
      </c>
      <c r="BD234" s="203">
        <f t="shared" si="139"/>
        <v>0</v>
      </c>
      <c r="BE234" s="203">
        <f t="shared" si="139"/>
        <v>0</v>
      </c>
      <c r="BF234" s="203">
        <f t="shared" si="139"/>
        <v>0</v>
      </c>
      <c r="BG234" s="209" t="s">
        <v>84</v>
      </c>
      <c r="BH234" s="210"/>
      <c r="BI234" s="207">
        <f>BI236+BI239+BI504+BI509+BI513</f>
        <v>0</v>
      </c>
      <c r="BJ234" s="207">
        <f>BJ236+BJ239+BJ504+BJ509+BJ513</f>
        <v>0</v>
      </c>
      <c r="BK234" s="207">
        <f>BK236+BK239+BK504+BK509+BK513</f>
        <v>0</v>
      </c>
      <c r="BL234" s="211"/>
      <c r="BM234" s="211"/>
      <c r="BN234" s="210"/>
      <c r="BQ234" s="213"/>
      <c r="BR234" s="214"/>
      <c r="BS234" s="210"/>
    </row>
    <row r="235" spans="1:71" s="212" customFormat="1" x14ac:dyDescent="0.35">
      <c r="A235" s="499"/>
      <c r="B235" s="470"/>
      <c r="C235" s="202"/>
      <c r="D235" s="202"/>
      <c r="E235" s="203">
        <f>E237+E240+E243</f>
        <v>5347</v>
      </c>
      <c r="F235" s="203">
        <f>F237+F240+F243</f>
        <v>5988.64</v>
      </c>
      <c r="G235" s="204"/>
      <c r="H235" s="203"/>
      <c r="I235" s="203">
        <f>I237+I240+I243</f>
        <v>1346.42857142857</v>
      </c>
      <c r="J235" s="203">
        <f>J237+J240+J243</f>
        <v>1507.9999999999984</v>
      </c>
      <c r="K235" s="488"/>
      <c r="L235" s="489"/>
      <c r="M235" s="500"/>
      <c r="N235" s="205">
        <f t="shared" si="137"/>
        <v>5212429.9999999991</v>
      </c>
      <c r="O235" s="205">
        <f t="shared" si="137"/>
        <v>5837921.5999999996</v>
      </c>
      <c r="P235" s="205">
        <f t="shared" si="137"/>
        <v>5212429.9999999991</v>
      </c>
      <c r="Q235" s="205">
        <f t="shared" si="137"/>
        <v>5837921.5999999996</v>
      </c>
      <c r="R235" s="206"/>
      <c r="S235" s="492"/>
      <c r="T235" s="203">
        <f t="shared" si="138"/>
        <v>0</v>
      </c>
      <c r="U235" s="203">
        <f t="shared" si="138"/>
        <v>0</v>
      </c>
      <c r="V235" s="216"/>
      <c r="W235" s="203">
        <f t="shared" si="138"/>
        <v>1291.2844732142855</v>
      </c>
      <c r="X235" s="203">
        <f t="shared" si="138"/>
        <v>1446.2386099999999</v>
      </c>
      <c r="Y235" s="216"/>
      <c r="Z235" s="203">
        <f t="shared" si="138"/>
        <v>1291.2844732142855</v>
      </c>
      <c r="AA235" s="203">
        <f t="shared" si="138"/>
        <v>1446.2386099999999</v>
      </c>
      <c r="AB235" s="216"/>
      <c r="AC235" s="203">
        <f t="shared" si="138"/>
        <v>1346</v>
      </c>
      <c r="AD235" s="203">
        <f t="shared" si="138"/>
        <v>1507.5200000000002</v>
      </c>
      <c r="AE235" s="216"/>
      <c r="AF235" s="203">
        <f t="shared" si="138"/>
        <v>1346.7453125</v>
      </c>
      <c r="AG235" s="203">
        <f t="shared" si="138"/>
        <v>1508.3547500000002</v>
      </c>
      <c r="AH235" s="216"/>
      <c r="AI235" s="203">
        <f t="shared" si="138"/>
        <v>0.74531249999995453</v>
      </c>
      <c r="AJ235" s="203">
        <f t="shared" si="138"/>
        <v>0.83474999999998545</v>
      </c>
      <c r="AK235" s="216"/>
      <c r="AL235" s="208">
        <f t="shared" si="124"/>
        <v>1.0005537239970281</v>
      </c>
      <c r="AM235" s="203">
        <f t="shared" si="139"/>
        <v>1346.7453125</v>
      </c>
      <c r="AN235" s="203">
        <f t="shared" si="139"/>
        <v>0</v>
      </c>
      <c r="AO235" s="203">
        <f t="shared" si="139"/>
        <v>0</v>
      </c>
      <c r="AP235" s="203">
        <f t="shared" si="139"/>
        <v>1346.7453125</v>
      </c>
      <c r="AQ235" s="203">
        <f t="shared" si="139"/>
        <v>1508.3547500000002</v>
      </c>
      <c r="AR235" s="203">
        <f t="shared" si="139"/>
        <v>0</v>
      </c>
      <c r="AS235" s="203">
        <f t="shared" si="139"/>
        <v>0</v>
      </c>
      <c r="AT235" s="203">
        <f t="shared" si="139"/>
        <v>0</v>
      </c>
      <c r="AU235" s="203">
        <f t="shared" si="139"/>
        <v>0</v>
      </c>
      <c r="AV235" s="203">
        <f t="shared" si="139"/>
        <v>0</v>
      </c>
      <c r="AW235" s="203">
        <f t="shared" si="139"/>
        <v>0</v>
      </c>
      <c r="AX235" s="203">
        <f t="shared" si="139"/>
        <v>0</v>
      </c>
      <c r="AY235" s="203">
        <f t="shared" si="139"/>
        <v>0</v>
      </c>
      <c r="AZ235" s="203">
        <f t="shared" si="139"/>
        <v>0</v>
      </c>
      <c r="BA235" s="203">
        <f t="shared" si="139"/>
        <v>0</v>
      </c>
      <c r="BB235" s="203">
        <f t="shared" si="139"/>
        <v>0</v>
      </c>
      <c r="BC235" s="203">
        <f t="shared" si="139"/>
        <v>0</v>
      </c>
      <c r="BD235" s="203">
        <f t="shared" si="139"/>
        <v>0</v>
      </c>
      <c r="BE235" s="203">
        <f t="shared" si="139"/>
        <v>0</v>
      </c>
      <c r="BF235" s="203">
        <f t="shared" si="139"/>
        <v>0</v>
      </c>
      <c r="BG235" s="210"/>
      <c r="BH235" s="210"/>
      <c r="BI235" s="207">
        <f>BI237+BI240+BI504+BI507+BI510+BI513</f>
        <v>0</v>
      </c>
      <c r="BJ235" s="207">
        <f>BJ237+BJ240+BJ504+BJ507+BJ510+BJ513</f>
        <v>0</v>
      </c>
      <c r="BK235" s="207">
        <f>BK237+BK240+BK504+BK507+BK510+BK513</f>
        <v>0</v>
      </c>
      <c r="BL235" s="211"/>
      <c r="BM235" s="211"/>
      <c r="BN235" s="210"/>
      <c r="BQ235" s="213"/>
      <c r="BR235" s="214"/>
      <c r="BS235" s="210"/>
    </row>
    <row r="236" spans="1:71" s="227" customFormat="1" x14ac:dyDescent="0.35">
      <c r="A236" s="499"/>
      <c r="B236" s="470"/>
      <c r="C236" s="217" t="s">
        <v>72</v>
      </c>
      <c r="D236" s="217" t="s">
        <v>73</v>
      </c>
      <c r="E236" s="218">
        <v>5347</v>
      </c>
      <c r="F236" s="218">
        <f>E236*1.12</f>
        <v>5988.64</v>
      </c>
      <c r="G236" s="493">
        <v>1919</v>
      </c>
      <c r="H236" s="496">
        <v>3</v>
      </c>
      <c r="I236" s="219"/>
      <c r="J236" s="219">
        <f>I236*1.12</f>
        <v>0</v>
      </c>
      <c r="K236" s="483" t="s">
        <v>129</v>
      </c>
      <c r="L236" s="480" t="s">
        <v>130</v>
      </c>
      <c r="M236" s="459" t="s">
        <v>113</v>
      </c>
      <c r="N236" s="220">
        <f t="shared" ref="N236:O244" si="140">P236</f>
        <v>3474979.9999999995</v>
      </c>
      <c r="O236" s="220">
        <f t="shared" si="140"/>
        <v>3891977.6</v>
      </c>
      <c r="P236" s="220">
        <f t="shared" ref="P236:P244" si="141">Q236/1.12</f>
        <v>3474979.9999999995</v>
      </c>
      <c r="Q236" s="220">
        <f>1945988.8+1945988.8</f>
        <v>3891977.6</v>
      </c>
      <c r="R236" s="454" t="s">
        <v>125</v>
      </c>
      <c r="S236" s="448">
        <f>1+1</f>
        <v>2</v>
      </c>
      <c r="T236" s="221"/>
      <c r="U236" s="221"/>
      <c r="V236" s="221"/>
      <c r="W236" s="221">
        <f>780+1846-1176</f>
        <v>1450</v>
      </c>
      <c r="X236" s="222">
        <f t="shared" ref="X236:X244" si="142">W236*1.12</f>
        <v>1624.0000000000002</v>
      </c>
      <c r="Y236" s="221">
        <f>1+1</f>
        <v>2</v>
      </c>
      <c r="Z236" s="221">
        <f t="shared" ref="Z236:AB244" si="143">T236+W236</f>
        <v>1450</v>
      </c>
      <c r="AA236" s="221">
        <f t="shared" si="143"/>
        <v>1624.0000000000002</v>
      </c>
      <c r="AB236" s="221">
        <f t="shared" si="143"/>
        <v>2</v>
      </c>
      <c r="AC236" s="221"/>
      <c r="AD236" s="221">
        <f>AC236*1.12</f>
        <v>0</v>
      </c>
      <c r="AE236" s="221"/>
      <c r="AF236" s="221"/>
      <c r="AG236" s="222">
        <f t="shared" ref="AG236:AG244" si="144">AF236*1.12</f>
        <v>0</v>
      </c>
      <c r="AH236" s="221"/>
      <c r="AI236" s="222">
        <f>AF236-AC236</f>
        <v>0</v>
      </c>
      <c r="AJ236" s="222">
        <f>AI236*1.12</f>
        <v>0</v>
      </c>
      <c r="AK236" s="218">
        <f>AH236-AE236</f>
        <v>0</v>
      </c>
      <c r="AL236" s="223" t="str">
        <f t="shared" si="124"/>
        <v/>
      </c>
      <c r="AM236" s="224"/>
      <c r="AN236" s="224"/>
      <c r="AO236" s="224"/>
      <c r="AP236" s="222"/>
      <c r="AQ236" s="222">
        <f t="shared" ref="AQ236:AQ244" si="145">AP236*1.12</f>
        <v>0</v>
      </c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6"/>
      <c r="BH236" s="226"/>
      <c r="BI236" s="226"/>
      <c r="BJ236" s="226"/>
      <c r="BK236" s="226"/>
      <c r="BL236" s="226"/>
      <c r="BM236" s="226"/>
      <c r="BN236" s="226"/>
      <c r="BQ236" s="228"/>
      <c r="BR236" s="229"/>
      <c r="BS236" s="226"/>
    </row>
    <row r="237" spans="1:71" s="103" customFormat="1" x14ac:dyDescent="0.35">
      <c r="A237" s="499"/>
      <c r="B237" s="470"/>
      <c r="C237" s="122" t="s">
        <v>74</v>
      </c>
      <c r="D237" s="122" t="s">
        <v>75</v>
      </c>
      <c r="E237" s="185">
        <f>E236</f>
        <v>5347</v>
      </c>
      <c r="F237" s="185">
        <f>E237*1.12</f>
        <v>5988.64</v>
      </c>
      <c r="G237" s="494"/>
      <c r="H237" s="497"/>
      <c r="I237" s="189">
        <v>1346.42857142857</v>
      </c>
      <c r="J237" s="189">
        <f>I237*1.12</f>
        <v>1507.9999999999984</v>
      </c>
      <c r="K237" s="484"/>
      <c r="L237" s="481"/>
      <c r="M237" s="459"/>
      <c r="N237" s="125">
        <f t="shared" si="140"/>
        <v>3474979.9999999995</v>
      </c>
      <c r="O237" s="125">
        <f t="shared" si="140"/>
        <v>3891977.6</v>
      </c>
      <c r="P237" s="125">
        <f t="shared" si="141"/>
        <v>3474979.9999999995</v>
      </c>
      <c r="Q237" s="125">
        <f>Q236</f>
        <v>3891977.6</v>
      </c>
      <c r="R237" s="454"/>
      <c r="S237" s="448"/>
      <c r="T237" s="124"/>
      <c r="U237" s="124"/>
      <c r="V237" s="124"/>
      <c r="W237" s="124">
        <f>751.83423/1.12+694.40438/1.12</f>
        <v>1291.2844732142855</v>
      </c>
      <c r="X237" s="123">
        <f t="shared" si="142"/>
        <v>1446.2386099999999</v>
      </c>
      <c r="Y237" s="124"/>
      <c r="Z237" s="124">
        <f t="shared" si="143"/>
        <v>1291.2844732142855</v>
      </c>
      <c r="AA237" s="124">
        <f t="shared" si="143"/>
        <v>1446.2386099999999</v>
      </c>
      <c r="AB237" s="124"/>
      <c r="AC237" s="124">
        <v>1346</v>
      </c>
      <c r="AD237" s="124">
        <f>AC237*1.12</f>
        <v>1507.5200000000002</v>
      </c>
      <c r="AE237" s="124"/>
      <c r="AF237" s="124"/>
      <c r="AG237" s="123">
        <f t="shared" si="144"/>
        <v>0</v>
      </c>
      <c r="AH237" s="124"/>
      <c r="AI237" s="123">
        <f>AF237-AC237</f>
        <v>-1346</v>
      </c>
      <c r="AJ237" s="123">
        <f>AI237*1.12</f>
        <v>-1507.5200000000002</v>
      </c>
      <c r="AK237" s="123"/>
      <c r="AL237" s="126">
        <f t="shared" si="124"/>
        <v>0</v>
      </c>
      <c r="AM237" s="127">
        <f>AF237</f>
        <v>0</v>
      </c>
      <c r="AN237" s="127"/>
      <c r="AO237" s="127"/>
      <c r="AP237" s="123">
        <f>AF237</f>
        <v>0</v>
      </c>
      <c r="AQ237" s="123">
        <f t="shared" si="145"/>
        <v>0</v>
      </c>
      <c r="AR237" s="123"/>
      <c r="AS237" s="123"/>
      <c r="AT237" s="123"/>
      <c r="AU237" s="123"/>
      <c r="AV237" s="123"/>
      <c r="AW237" s="123"/>
      <c r="AX237" s="123"/>
      <c r="AY237" s="123"/>
      <c r="AZ237" s="123"/>
      <c r="BA237" s="123"/>
      <c r="BB237" s="123"/>
      <c r="BC237" s="123"/>
      <c r="BD237" s="123"/>
      <c r="BE237" s="123"/>
      <c r="BF237" s="123"/>
      <c r="BG237" s="106"/>
      <c r="BH237" s="106"/>
      <c r="BI237" s="106"/>
      <c r="BJ237" s="106"/>
      <c r="BK237" s="106"/>
      <c r="BL237" s="106"/>
      <c r="BM237" s="106"/>
      <c r="BN237" s="106"/>
      <c r="BQ237" s="29"/>
      <c r="BR237" s="107"/>
      <c r="BS237" s="106"/>
    </row>
    <row r="238" spans="1:71" x14ac:dyDescent="0.35">
      <c r="A238" s="499"/>
      <c r="B238" s="470"/>
      <c r="C238" s="129" t="s">
        <v>74</v>
      </c>
      <c r="D238" s="129" t="s">
        <v>76</v>
      </c>
      <c r="E238" s="187">
        <f>E237</f>
        <v>5347</v>
      </c>
      <c r="F238" s="187">
        <f>F237</f>
        <v>5988.64</v>
      </c>
      <c r="G238" s="494"/>
      <c r="H238" s="497"/>
      <c r="I238" s="191">
        <f>I237</f>
        <v>1346.42857142857</v>
      </c>
      <c r="J238" s="191">
        <f>J237</f>
        <v>1507.9999999999984</v>
      </c>
      <c r="K238" s="485"/>
      <c r="L238" s="482"/>
      <c r="M238" s="459"/>
      <c r="N238" s="132">
        <f t="shared" si="140"/>
        <v>3474979.9999999995</v>
      </c>
      <c r="O238" s="132">
        <f t="shared" si="140"/>
        <v>3891977.6</v>
      </c>
      <c r="P238" s="132">
        <f t="shared" si="141"/>
        <v>3474979.9999999995</v>
      </c>
      <c r="Q238" s="132">
        <f>Q237</f>
        <v>3891977.6</v>
      </c>
      <c r="R238" s="454"/>
      <c r="S238" s="448"/>
      <c r="T238" s="131"/>
      <c r="U238" s="131"/>
      <c r="V238" s="131"/>
      <c r="W238" s="131">
        <f>W237</f>
        <v>1291.2844732142855</v>
      </c>
      <c r="X238" s="130">
        <f t="shared" si="142"/>
        <v>1446.2386099999999</v>
      </c>
      <c r="Y238" s="131"/>
      <c r="Z238" s="131">
        <f t="shared" si="143"/>
        <v>1291.2844732142855</v>
      </c>
      <c r="AA238" s="131">
        <f t="shared" si="143"/>
        <v>1446.2386099999999</v>
      </c>
      <c r="AB238" s="131"/>
      <c r="AC238" s="131">
        <f>AC237</f>
        <v>1346</v>
      </c>
      <c r="AD238" s="131">
        <f>AD237</f>
        <v>1507.5200000000002</v>
      </c>
      <c r="AE238" s="131"/>
      <c r="AF238" s="131">
        <f>AF237</f>
        <v>0</v>
      </c>
      <c r="AG238" s="130">
        <f t="shared" si="144"/>
        <v>0</v>
      </c>
      <c r="AH238" s="131"/>
      <c r="AI238" s="130">
        <f>AI237</f>
        <v>-1346</v>
      </c>
      <c r="AJ238" s="130">
        <f>AJ237</f>
        <v>-1507.5200000000002</v>
      </c>
      <c r="AK238" s="130"/>
      <c r="AL238" s="133">
        <f t="shared" si="124"/>
        <v>0</v>
      </c>
      <c r="AM238" s="134">
        <f>AF238</f>
        <v>0</v>
      </c>
      <c r="AN238" s="134"/>
      <c r="AO238" s="134"/>
      <c r="AP238" s="130">
        <f>AF238</f>
        <v>0</v>
      </c>
      <c r="AQ238" s="130">
        <f t="shared" si="145"/>
        <v>0</v>
      </c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31"/>
      <c r="BH238" s="31"/>
      <c r="BI238" s="31"/>
      <c r="BJ238" s="31"/>
      <c r="BK238" s="31"/>
      <c r="BL238" s="31"/>
      <c r="BM238" s="31"/>
      <c r="BN238" s="31"/>
      <c r="BQ238" s="27"/>
      <c r="BR238" s="28"/>
      <c r="BS238" s="31"/>
    </row>
    <row r="239" spans="1:71" s="227" customFormat="1" x14ac:dyDescent="0.35">
      <c r="A239" s="499"/>
      <c r="B239" s="470"/>
      <c r="C239" s="217" t="s">
        <v>72</v>
      </c>
      <c r="D239" s="217" t="s">
        <v>73</v>
      </c>
      <c r="E239" s="218"/>
      <c r="F239" s="218"/>
      <c r="G239" s="494"/>
      <c r="H239" s="497"/>
      <c r="I239" s="219"/>
      <c r="J239" s="219"/>
      <c r="K239" s="463" t="s">
        <v>149</v>
      </c>
      <c r="L239" s="501" t="s">
        <v>150</v>
      </c>
      <c r="M239" s="459" t="s">
        <v>113</v>
      </c>
      <c r="N239" s="220">
        <f t="shared" si="140"/>
        <v>1737449.9999999998</v>
      </c>
      <c r="O239" s="220">
        <f t="shared" si="140"/>
        <v>1945944</v>
      </c>
      <c r="P239" s="220">
        <f t="shared" si="141"/>
        <v>1737449.9999999998</v>
      </c>
      <c r="Q239" s="220">
        <v>1945944</v>
      </c>
      <c r="R239" s="454" t="s">
        <v>125</v>
      </c>
      <c r="S239" s="448">
        <v>1</v>
      </c>
      <c r="T239" s="221"/>
      <c r="U239" s="221"/>
      <c r="V239" s="221"/>
      <c r="W239" s="221">
        <v>1398</v>
      </c>
      <c r="X239" s="222">
        <f t="shared" si="142"/>
        <v>1565.7600000000002</v>
      </c>
      <c r="Y239" s="221">
        <v>1</v>
      </c>
      <c r="Z239" s="221">
        <f t="shared" si="143"/>
        <v>1398</v>
      </c>
      <c r="AA239" s="221">
        <f t="shared" si="143"/>
        <v>1565.7600000000002</v>
      </c>
      <c r="AB239" s="221">
        <f t="shared" si="143"/>
        <v>1</v>
      </c>
      <c r="AC239" s="221"/>
      <c r="AD239" s="221"/>
      <c r="AE239" s="221"/>
      <c r="AF239" s="221"/>
      <c r="AG239" s="222">
        <f t="shared" si="144"/>
        <v>0</v>
      </c>
      <c r="AH239" s="221"/>
      <c r="AI239" s="222">
        <f>AF239-AC239</f>
        <v>0</v>
      </c>
      <c r="AJ239" s="222">
        <f>AI239*1.12</f>
        <v>0</v>
      </c>
      <c r="AK239" s="218">
        <f>AH239-AE239</f>
        <v>0</v>
      </c>
      <c r="AL239" s="223" t="str">
        <f t="shared" si="124"/>
        <v/>
      </c>
      <c r="AM239" s="224"/>
      <c r="AN239" s="224"/>
      <c r="AO239" s="224"/>
      <c r="AP239" s="222"/>
      <c r="AQ239" s="222">
        <f t="shared" si="145"/>
        <v>0</v>
      </c>
      <c r="AR239" s="222"/>
      <c r="AS239" s="222"/>
      <c r="AT239" s="222"/>
      <c r="AU239" s="222"/>
      <c r="AV239" s="222"/>
      <c r="AW239" s="222"/>
      <c r="AX239" s="222"/>
      <c r="AY239" s="222"/>
      <c r="AZ239" s="225"/>
      <c r="BA239" s="222"/>
      <c r="BB239" s="222"/>
      <c r="BC239" s="222"/>
      <c r="BD239" s="222"/>
      <c r="BE239" s="222"/>
      <c r="BF239" s="222"/>
      <c r="BG239" s="226"/>
      <c r="BH239" s="226"/>
      <c r="BI239" s="226"/>
      <c r="BJ239" s="226"/>
      <c r="BK239" s="226"/>
      <c r="BL239" s="226"/>
      <c r="BM239" s="226"/>
      <c r="BN239" s="226"/>
      <c r="BQ239" s="228"/>
      <c r="BR239" s="229"/>
      <c r="BS239" s="226"/>
    </row>
    <row r="240" spans="1:71" s="103" customFormat="1" x14ac:dyDescent="0.35">
      <c r="A240" s="499"/>
      <c r="B240" s="470"/>
      <c r="C240" s="122" t="s">
        <v>74</v>
      </c>
      <c r="D240" s="122" t="s">
        <v>75</v>
      </c>
      <c r="E240" s="185"/>
      <c r="F240" s="185"/>
      <c r="G240" s="494"/>
      <c r="H240" s="497"/>
      <c r="I240" s="189"/>
      <c r="J240" s="189"/>
      <c r="K240" s="463"/>
      <c r="L240" s="501"/>
      <c r="M240" s="459"/>
      <c r="N240" s="125">
        <f t="shared" si="140"/>
        <v>1737449.9999999998</v>
      </c>
      <c r="O240" s="125">
        <f t="shared" si="140"/>
        <v>1945944</v>
      </c>
      <c r="P240" s="125">
        <f t="shared" si="141"/>
        <v>1737449.9999999998</v>
      </c>
      <c r="Q240" s="125">
        <f>Q239</f>
        <v>1945944</v>
      </c>
      <c r="R240" s="454"/>
      <c r="S240" s="448"/>
      <c r="T240" s="124"/>
      <c r="U240" s="124"/>
      <c r="V240" s="124"/>
      <c r="W240" s="124"/>
      <c r="X240" s="123">
        <f t="shared" si="142"/>
        <v>0</v>
      </c>
      <c r="Y240" s="124"/>
      <c r="Z240" s="124">
        <f t="shared" si="143"/>
        <v>0</v>
      </c>
      <c r="AA240" s="124">
        <f t="shared" si="143"/>
        <v>0</v>
      </c>
      <c r="AB240" s="124"/>
      <c r="AC240" s="124"/>
      <c r="AD240" s="124">
        <f>AC240*1.12</f>
        <v>0</v>
      </c>
      <c r="AE240" s="124"/>
      <c r="AF240" s="124">
        <f>1508.35475/1.12</f>
        <v>1346.7453125</v>
      </c>
      <c r="AG240" s="123">
        <f t="shared" si="144"/>
        <v>1508.3547500000002</v>
      </c>
      <c r="AH240" s="124"/>
      <c r="AI240" s="123">
        <f>AF240-AC240</f>
        <v>1346.7453125</v>
      </c>
      <c r="AJ240" s="123">
        <f>AI240*1.12</f>
        <v>1508.3547500000002</v>
      </c>
      <c r="AK240" s="123"/>
      <c r="AL240" s="126" t="str">
        <f t="shared" si="124"/>
        <v/>
      </c>
      <c r="AM240" s="127">
        <f>AF240</f>
        <v>1346.7453125</v>
      </c>
      <c r="AN240" s="127"/>
      <c r="AO240" s="127"/>
      <c r="AP240" s="123">
        <f>AF240</f>
        <v>1346.7453125</v>
      </c>
      <c r="AQ240" s="123">
        <f t="shared" si="145"/>
        <v>1508.3547500000002</v>
      </c>
      <c r="AR240" s="123"/>
      <c r="AS240" s="123"/>
      <c r="AT240" s="123"/>
      <c r="AU240" s="123"/>
      <c r="AV240" s="123"/>
      <c r="AW240" s="123"/>
      <c r="AX240" s="123"/>
      <c r="AY240" s="123"/>
      <c r="AZ240" s="123"/>
      <c r="BA240" s="123"/>
      <c r="BB240" s="123"/>
      <c r="BC240" s="123"/>
      <c r="BD240" s="123"/>
      <c r="BE240" s="123"/>
      <c r="BF240" s="123"/>
      <c r="BG240" s="106"/>
      <c r="BH240" s="106"/>
      <c r="BI240" s="106"/>
      <c r="BJ240" s="106"/>
      <c r="BK240" s="106"/>
      <c r="BL240" s="106"/>
      <c r="BM240" s="106"/>
      <c r="BN240" s="106"/>
      <c r="BQ240" s="29"/>
      <c r="BR240" s="107"/>
      <c r="BS240" s="106"/>
    </row>
    <row r="241" spans="1:71" x14ac:dyDescent="0.35">
      <c r="A241" s="499"/>
      <c r="B241" s="470"/>
      <c r="C241" s="129" t="s">
        <v>74</v>
      </c>
      <c r="D241" s="129" t="s">
        <v>76</v>
      </c>
      <c r="E241" s="187"/>
      <c r="F241" s="187"/>
      <c r="G241" s="494"/>
      <c r="H241" s="497"/>
      <c r="I241" s="191"/>
      <c r="J241" s="191"/>
      <c r="K241" s="463"/>
      <c r="L241" s="501"/>
      <c r="M241" s="459"/>
      <c r="N241" s="132">
        <f t="shared" si="140"/>
        <v>1737449.9999999998</v>
      </c>
      <c r="O241" s="132">
        <f t="shared" si="140"/>
        <v>1945944</v>
      </c>
      <c r="P241" s="132">
        <f t="shared" si="141"/>
        <v>1737449.9999999998</v>
      </c>
      <c r="Q241" s="132">
        <f>Q240</f>
        <v>1945944</v>
      </c>
      <c r="R241" s="454"/>
      <c r="S241" s="448"/>
      <c r="T241" s="131"/>
      <c r="U241" s="131"/>
      <c r="V241" s="131"/>
      <c r="W241" s="131">
        <f>W240</f>
        <v>0</v>
      </c>
      <c r="X241" s="130">
        <f t="shared" si="142"/>
        <v>0</v>
      </c>
      <c r="Y241" s="131"/>
      <c r="Z241" s="131">
        <f t="shared" si="143"/>
        <v>0</v>
      </c>
      <c r="AA241" s="131">
        <f t="shared" si="143"/>
        <v>0</v>
      </c>
      <c r="AB241" s="131"/>
      <c r="AC241" s="131">
        <f>AC240</f>
        <v>0</v>
      </c>
      <c r="AD241" s="131">
        <f>AD240</f>
        <v>0</v>
      </c>
      <c r="AE241" s="131"/>
      <c r="AF241" s="131">
        <f>AF240</f>
        <v>1346.7453125</v>
      </c>
      <c r="AG241" s="130">
        <f t="shared" si="144"/>
        <v>1508.3547500000002</v>
      </c>
      <c r="AH241" s="131"/>
      <c r="AI241" s="130">
        <f>AI240</f>
        <v>1346.7453125</v>
      </c>
      <c r="AJ241" s="130">
        <f>AJ240</f>
        <v>1508.3547500000002</v>
      </c>
      <c r="AK241" s="130"/>
      <c r="AL241" s="133" t="str">
        <f t="shared" si="124"/>
        <v/>
      </c>
      <c r="AM241" s="134">
        <f>AF241</f>
        <v>1346.7453125</v>
      </c>
      <c r="AN241" s="134"/>
      <c r="AO241" s="134"/>
      <c r="AP241" s="130">
        <f>AF241</f>
        <v>1346.7453125</v>
      </c>
      <c r="AQ241" s="130">
        <f t="shared" si="145"/>
        <v>1508.3547500000002</v>
      </c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31"/>
      <c r="BH241" s="31"/>
      <c r="BI241" s="31"/>
      <c r="BJ241" s="31"/>
      <c r="BK241" s="31"/>
      <c r="BL241" s="31"/>
      <c r="BM241" s="31"/>
      <c r="BN241" s="31"/>
      <c r="BQ241" s="27"/>
      <c r="BR241" s="28"/>
      <c r="BS241" s="31"/>
    </row>
    <row r="242" spans="1:71" s="227" customFormat="1" hidden="1" outlineLevel="1" x14ac:dyDescent="0.35">
      <c r="A242" s="499"/>
      <c r="B242" s="470"/>
      <c r="C242" s="217" t="s">
        <v>72</v>
      </c>
      <c r="D242" s="217" t="s">
        <v>73</v>
      </c>
      <c r="E242" s="218"/>
      <c r="F242" s="218"/>
      <c r="G242" s="494"/>
      <c r="H242" s="497"/>
      <c r="I242" s="219"/>
      <c r="J242" s="219"/>
      <c r="K242" s="476"/>
      <c r="L242" s="454"/>
      <c r="M242" s="459" t="s">
        <v>113</v>
      </c>
      <c r="N242" s="220">
        <f t="shared" si="140"/>
        <v>0</v>
      </c>
      <c r="O242" s="220">
        <f t="shared" si="140"/>
        <v>0</v>
      </c>
      <c r="P242" s="220">
        <f t="shared" si="141"/>
        <v>0</v>
      </c>
      <c r="Q242" s="220"/>
      <c r="R242" s="454"/>
      <c r="S242" s="448"/>
      <c r="T242" s="221"/>
      <c r="U242" s="221"/>
      <c r="V242" s="221"/>
      <c r="W242" s="221"/>
      <c r="X242" s="222">
        <f t="shared" si="142"/>
        <v>0</v>
      </c>
      <c r="Y242" s="221"/>
      <c r="Z242" s="221">
        <f t="shared" si="143"/>
        <v>0</v>
      </c>
      <c r="AA242" s="221">
        <f t="shared" si="143"/>
        <v>0</v>
      </c>
      <c r="AB242" s="221">
        <f t="shared" si="143"/>
        <v>0</v>
      </c>
      <c r="AC242" s="221"/>
      <c r="AD242" s="221"/>
      <c r="AE242" s="221"/>
      <c r="AF242" s="221"/>
      <c r="AG242" s="222">
        <f t="shared" si="144"/>
        <v>0</v>
      </c>
      <c r="AH242" s="221"/>
      <c r="AI242" s="222">
        <f>AF242-AC242</f>
        <v>0</v>
      </c>
      <c r="AJ242" s="222">
        <f>AI242*1.12</f>
        <v>0</v>
      </c>
      <c r="AK242" s="222">
        <f>AH242-AE242</f>
        <v>0</v>
      </c>
      <c r="AL242" s="223" t="str">
        <f t="shared" si="124"/>
        <v/>
      </c>
      <c r="AM242" s="224"/>
      <c r="AN242" s="224"/>
      <c r="AO242" s="224"/>
      <c r="AP242" s="222"/>
      <c r="AQ242" s="222">
        <f t="shared" si="145"/>
        <v>0</v>
      </c>
      <c r="AR242" s="222"/>
      <c r="AS242" s="222"/>
      <c r="AT242" s="222"/>
      <c r="AU242" s="222"/>
      <c r="AV242" s="222"/>
      <c r="AW242" s="222"/>
      <c r="AX242" s="222"/>
      <c r="AY242" s="222"/>
      <c r="AZ242" s="225"/>
      <c r="BA242" s="222"/>
      <c r="BB242" s="222"/>
      <c r="BC242" s="222"/>
      <c r="BD242" s="222"/>
      <c r="BE242" s="222"/>
      <c r="BF242" s="222"/>
      <c r="BG242" s="226"/>
      <c r="BH242" s="226"/>
      <c r="BI242" s="226"/>
      <c r="BJ242" s="226"/>
      <c r="BK242" s="226"/>
      <c r="BL242" s="226"/>
      <c r="BM242" s="226"/>
      <c r="BN242" s="226"/>
      <c r="BQ242" s="228"/>
      <c r="BR242" s="229"/>
      <c r="BS242" s="226"/>
    </row>
    <row r="243" spans="1:71" s="103" customFormat="1" hidden="1" outlineLevel="1" x14ac:dyDescent="0.35">
      <c r="A243" s="499"/>
      <c r="B243" s="470"/>
      <c r="C243" s="122" t="s">
        <v>74</v>
      </c>
      <c r="D243" s="122" t="s">
        <v>75</v>
      </c>
      <c r="E243" s="185"/>
      <c r="F243" s="185"/>
      <c r="G243" s="494"/>
      <c r="H243" s="497"/>
      <c r="I243" s="189"/>
      <c r="J243" s="189"/>
      <c r="K243" s="476"/>
      <c r="L243" s="454"/>
      <c r="M243" s="459"/>
      <c r="N243" s="125">
        <f t="shared" si="140"/>
        <v>0</v>
      </c>
      <c r="O243" s="125">
        <f t="shared" si="140"/>
        <v>0</v>
      </c>
      <c r="P243" s="125">
        <f t="shared" si="141"/>
        <v>0</v>
      </c>
      <c r="Q243" s="125">
        <f>Q242</f>
        <v>0</v>
      </c>
      <c r="R243" s="454"/>
      <c r="S243" s="448"/>
      <c r="T243" s="124"/>
      <c r="U243" s="124"/>
      <c r="V243" s="124"/>
      <c r="W243" s="124"/>
      <c r="X243" s="123">
        <f t="shared" si="142"/>
        <v>0</v>
      </c>
      <c r="Y243" s="124"/>
      <c r="Z243" s="124">
        <f t="shared" si="143"/>
        <v>0</v>
      </c>
      <c r="AA243" s="124">
        <f t="shared" si="143"/>
        <v>0</v>
      </c>
      <c r="AB243" s="124"/>
      <c r="AC243" s="124"/>
      <c r="AD243" s="124"/>
      <c r="AE243" s="124"/>
      <c r="AF243" s="124"/>
      <c r="AG243" s="123">
        <f t="shared" si="144"/>
        <v>0</v>
      </c>
      <c r="AH243" s="124"/>
      <c r="AI243" s="123">
        <f>AF243-AC243</f>
        <v>0</v>
      </c>
      <c r="AJ243" s="123">
        <f>AI243*1.12</f>
        <v>0</v>
      </c>
      <c r="AK243" s="123"/>
      <c r="AL243" s="126" t="str">
        <f t="shared" si="124"/>
        <v/>
      </c>
      <c r="AM243" s="127"/>
      <c r="AN243" s="127">
        <f>AF243</f>
        <v>0</v>
      </c>
      <c r="AO243" s="127"/>
      <c r="AP243" s="123">
        <f>AF243</f>
        <v>0</v>
      </c>
      <c r="AQ243" s="123">
        <f t="shared" si="145"/>
        <v>0</v>
      </c>
      <c r="AR243" s="123"/>
      <c r="AS243" s="123"/>
      <c r="AT243" s="123"/>
      <c r="AU243" s="123"/>
      <c r="AV243" s="123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106"/>
      <c r="BH243" s="106"/>
      <c r="BI243" s="106"/>
      <c r="BJ243" s="106"/>
      <c r="BK243" s="106"/>
      <c r="BL243" s="106"/>
      <c r="BM243" s="106"/>
      <c r="BN243" s="106"/>
      <c r="BQ243" s="29"/>
      <c r="BR243" s="107"/>
      <c r="BS243" s="106"/>
    </row>
    <row r="244" spans="1:71" ht="14.5" hidden="1" outlineLevel="1" x14ac:dyDescent="0.35">
      <c r="A244" s="439"/>
      <c r="B244" s="437"/>
      <c r="C244" s="129" t="s">
        <v>74</v>
      </c>
      <c r="D244" s="129" t="s">
        <v>76</v>
      </c>
      <c r="E244" s="187"/>
      <c r="F244" s="187"/>
      <c r="G244" s="495"/>
      <c r="H244" s="498"/>
      <c r="I244" s="191"/>
      <c r="J244" s="191"/>
      <c r="K244" s="476"/>
      <c r="L244" s="454"/>
      <c r="M244" s="459"/>
      <c r="N244" s="132">
        <f t="shared" si="140"/>
        <v>0</v>
      </c>
      <c r="O244" s="132">
        <f t="shared" si="140"/>
        <v>0</v>
      </c>
      <c r="P244" s="132">
        <f t="shared" si="141"/>
        <v>0</v>
      </c>
      <c r="Q244" s="132">
        <f>Q243</f>
        <v>0</v>
      </c>
      <c r="R244" s="454"/>
      <c r="S244" s="448"/>
      <c r="T244" s="131"/>
      <c r="U244" s="131"/>
      <c r="V244" s="131"/>
      <c r="W244" s="131">
        <f>W243</f>
        <v>0</v>
      </c>
      <c r="X244" s="130">
        <f t="shared" si="142"/>
        <v>0</v>
      </c>
      <c r="Y244" s="131"/>
      <c r="Z244" s="131">
        <f t="shared" si="143"/>
        <v>0</v>
      </c>
      <c r="AA244" s="131">
        <f t="shared" si="143"/>
        <v>0</v>
      </c>
      <c r="AB244" s="131"/>
      <c r="AC244" s="131"/>
      <c r="AD244" s="131"/>
      <c r="AE244" s="131"/>
      <c r="AF244" s="131">
        <f>AF243</f>
        <v>0</v>
      </c>
      <c r="AG244" s="130">
        <f t="shared" si="144"/>
        <v>0</v>
      </c>
      <c r="AH244" s="131"/>
      <c r="AI244" s="130">
        <f>AI243</f>
        <v>0</v>
      </c>
      <c r="AJ244" s="130">
        <f>AJ243</f>
        <v>0</v>
      </c>
      <c r="AK244" s="130"/>
      <c r="AL244" s="133" t="str">
        <f t="shared" si="124"/>
        <v/>
      </c>
      <c r="AM244" s="134"/>
      <c r="AN244" s="134">
        <f>AF244</f>
        <v>0</v>
      </c>
      <c r="AO244" s="134"/>
      <c r="AP244" s="130">
        <f>AF244</f>
        <v>0</v>
      </c>
      <c r="AQ244" s="130">
        <f t="shared" si="145"/>
        <v>0</v>
      </c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31"/>
      <c r="BH244" s="31"/>
      <c r="BI244" s="31"/>
      <c r="BJ244" s="31"/>
      <c r="BK244" s="31"/>
      <c r="BL244" s="31"/>
      <c r="BM244" s="31"/>
      <c r="BN244" s="31"/>
      <c r="BQ244" s="27"/>
      <c r="BR244" s="28"/>
      <c r="BS244" s="31"/>
    </row>
    <row r="245" spans="1:71" s="212" customFormat="1" collapsed="1" x14ac:dyDescent="0.35">
      <c r="A245" s="438"/>
      <c r="B245" s="436" t="s">
        <v>153</v>
      </c>
      <c r="C245" s="202"/>
      <c r="D245" s="202"/>
      <c r="E245" s="203">
        <f>E247+E250+E259</f>
        <v>538927</v>
      </c>
      <c r="F245" s="203">
        <f>F247+F250+F259</f>
        <v>603598.24000000011</v>
      </c>
      <c r="G245" s="204"/>
      <c r="H245" s="203">
        <f>H247+H250+H259</f>
        <v>0</v>
      </c>
      <c r="I245" s="203">
        <f>I247+I250+I259</f>
        <v>0</v>
      </c>
      <c r="J245" s="203">
        <f>J247+J250+J259</f>
        <v>0</v>
      </c>
      <c r="K245" s="486" t="s">
        <v>154</v>
      </c>
      <c r="L245" s="487"/>
      <c r="M245" s="500" t="s">
        <v>113</v>
      </c>
      <c r="N245" s="205">
        <f t="shared" ref="N245:Q246" si="146">N247+N250+N259+N253+N256</f>
        <v>406774704.82142848</v>
      </c>
      <c r="O245" s="205">
        <f t="shared" si="146"/>
        <v>455587669.4000001</v>
      </c>
      <c r="P245" s="205">
        <f t="shared" si="146"/>
        <v>406774704.82142848</v>
      </c>
      <c r="Q245" s="205">
        <f t="shared" si="146"/>
        <v>455587669.4000001</v>
      </c>
      <c r="R245" s="206"/>
      <c r="S245" s="492">
        <f>S247+S250+S259+S253+S256</f>
        <v>200</v>
      </c>
      <c r="T245" s="203">
        <f>T247+T250+T259+T253+T256</f>
        <v>0</v>
      </c>
      <c r="U245" s="203">
        <f>U247+U250+U259+U253+U256</f>
        <v>0</v>
      </c>
      <c r="V245" s="203">
        <f>V247+V250+V259+V253+V256</f>
        <v>0</v>
      </c>
      <c r="W245" s="203">
        <f>W247+W250+W259+W253+W256</f>
        <v>466309</v>
      </c>
      <c r="X245" s="203">
        <f t="shared" ref="X245:AB246" si="147">X247+X250+X259+X253+X256</f>
        <v>522266.08</v>
      </c>
      <c r="Y245" s="203">
        <f t="shared" si="147"/>
        <v>200</v>
      </c>
      <c r="Z245" s="203">
        <f t="shared" si="147"/>
        <v>466309</v>
      </c>
      <c r="AA245" s="203">
        <f t="shared" si="147"/>
        <v>522266.08</v>
      </c>
      <c r="AB245" s="203">
        <f t="shared" si="147"/>
        <v>200</v>
      </c>
      <c r="AC245" s="203">
        <f>AC247+AC250+AC259+AC253+AC256</f>
        <v>0</v>
      </c>
      <c r="AD245" s="203">
        <f>AD247+AD250+AD259+AD253+AD256</f>
        <v>0</v>
      </c>
      <c r="AE245" s="203">
        <f>AE247+AE250+AE259+AE253+AE256</f>
        <v>0</v>
      </c>
      <c r="AF245" s="203">
        <f t="shared" ref="AF245:AK246" si="148">AF247+AF250+AF259+AF253+AF256</f>
        <v>0</v>
      </c>
      <c r="AG245" s="203">
        <f t="shared" si="148"/>
        <v>0</v>
      </c>
      <c r="AH245" s="203">
        <f t="shared" si="148"/>
        <v>0</v>
      </c>
      <c r="AI245" s="203">
        <f t="shared" si="148"/>
        <v>0</v>
      </c>
      <c r="AJ245" s="203">
        <f t="shared" si="148"/>
        <v>0</v>
      </c>
      <c r="AK245" s="203">
        <f t="shared" si="148"/>
        <v>0</v>
      </c>
      <c r="AL245" s="208" t="str">
        <f t="shared" si="124"/>
        <v/>
      </c>
      <c r="AM245" s="203">
        <f>AM247+AM250+AM259+AM253+AM256</f>
        <v>0</v>
      </c>
      <c r="AN245" s="203">
        <f t="shared" ref="AN245:BF246" si="149">AN247+AN250+AN259+AN253+AN256</f>
        <v>0</v>
      </c>
      <c r="AO245" s="203">
        <f t="shared" si="149"/>
        <v>0</v>
      </c>
      <c r="AP245" s="203">
        <f t="shared" si="149"/>
        <v>0</v>
      </c>
      <c r="AQ245" s="203">
        <f t="shared" si="149"/>
        <v>0</v>
      </c>
      <c r="AR245" s="203">
        <f t="shared" si="149"/>
        <v>0</v>
      </c>
      <c r="AS245" s="203">
        <f t="shared" si="149"/>
        <v>0</v>
      </c>
      <c r="AT245" s="203">
        <f t="shared" si="149"/>
        <v>0</v>
      </c>
      <c r="AU245" s="203">
        <f t="shared" si="149"/>
        <v>0</v>
      </c>
      <c r="AV245" s="203">
        <f t="shared" si="149"/>
        <v>0</v>
      </c>
      <c r="AW245" s="203">
        <f t="shared" si="149"/>
        <v>0</v>
      </c>
      <c r="AX245" s="203">
        <f t="shared" si="149"/>
        <v>0</v>
      </c>
      <c r="AY245" s="203">
        <f t="shared" si="149"/>
        <v>0</v>
      </c>
      <c r="AZ245" s="203">
        <f t="shared" si="149"/>
        <v>0</v>
      </c>
      <c r="BA245" s="203">
        <f t="shared" si="149"/>
        <v>0</v>
      </c>
      <c r="BB245" s="203">
        <f t="shared" si="149"/>
        <v>0</v>
      </c>
      <c r="BC245" s="203">
        <f t="shared" si="149"/>
        <v>0</v>
      </c>
      <c r="BD245" s="203">
        <f t="shared" si="149"/>
        <v>0</v>
      </c>
      <c r="BE245" s="203">
        <f t="shared" si="149"/>
        <v>0</v>
      </c>
      <c r="BF245" s="203">
        <f t="shared" si="149"/>
        <v>0</v>
      </c>
      <c r="BG245" s="209" t="s">
        <v>84</v>
      </c>
      <c r="BH245" s="210"/>
      <c r="BI245" s="207">
        <f>BI247+BI250+BI515+BI520+BI524</f>
        <v>0</v>
      </c>
      <c r="BJ245" s="207">
        <f>BJ247+BJ250+BJ515+BJ520+BJ524</f>
        <v>0</v>
      </c>
      <c r="BK245" s="207">
        <f>BK247+BK250+BK515+BK520+BK524</f>
        <v>0</v>
      </c>
      <c r="BL245" s="211"/>
      <c r="BM245" s="211"/>
      <c r="BN245" s="210"/>
      <c r="BQ245" s="213"/>
      <c r="BR245" s="214"/>
      <c r="BS245" s="210"/>
    </row>
    <row r="246" spans="1:71" s="212" customFormat="1" x14ac:dyDescent="0.35">
      <c r="A246" s="499"/>
      <c r="B246" s="470"/>
      <c r="C246" s="202"/>
      <c r="D246" s="202"/>
      <c r="E246" s="203">
        <f>E248+E251+E260</f>
        <v>538927</v>
      </c>
      <c r="F246" s="203">
        <f>F248+F251+F260</f>
        <v>603598.24000000011</v>
      </c>
      <c r="G246" s="204"/>
      <c r="H246" s="203"/>
      <c r="I246" s="203">
        <f>I248+I251+I260</f>
        <v>254306.24999999997</v>
      </c>
      <c r="J246" s="203">
        <f>J248+J251+J260</f>
        <v>284823</v>
      </c>
      <c r="K246" s="488"/>
      <c r="L246" s="489"/>
      <c r="M246" s="500"/>
      <c r="N246" s="205">
        <f t="shared" si="146"/>
        <v>406774704.82142848</v>
      </c>
      <c r="O246" s="205">
        <f t="shared" si="146"/>
        <v>455587669.4000001</v>
      </c>
      <c r="P246" s="205">
        <f t="shared" si="146"/>
        <v>406774704.82142848</v>
      </c>
      <c r="Q246" s="205">
        <f t="shared" si="146"/>
        <v>455587669.4000001</v>
      </c>
      <c r="R246" s="206"/>
      <c r="S246" s="492"/>
      <c r="T246" s="203">
        <f>T248+T251+T260+T254+T257</f>
        <v>0</v>
      </c>
      <c r="U246" s="203">
        <f>U248+U251+U260+U254+U257</f>
        <v>0</v>
      </c>
      <c r="V246" s="203"/>
      <c r="W246" s="203">
        <f>W248+W251+W260+W254+W257</f>
        <v>20686.531446428569</v>
      </c>
      <c r="X246" s="203">
        <f t="shared" si="147"/>
        <v>23168.915219999999</v>
      </c>
      <c r="Y246" s="203"/>
      <c r="Z246" s="203">
        <f t="shared" si="147"/>
        <v>20686.531446428569</v>
      </c>
      <c r="AA246" s="203">
        <f t="shared" si="147"/>
        <v>23168.915219999999</v>
      </c>
      <c r="AB246" s="203"/>
      <c r="AC246" s="203">
        <f>AC248+AC251+AC260+AC254+AC257</f>
        <v>254306.24999999997</v>
      </c>
      <c r="AD246" s="203">
        <f>AD248+AD251+AD260+AD254+AD257</f>
        <v>284823</v>
      </c>
      <c r="AE246" s="216"/>
      <c r="AF246" s="203">
        <f t="shared" si="148"/>
        <v>213320.04911607143</v>
      </c>
      <c r="AG246" s="203">
        <f t="shared" si="148"/>
        <v>238918.45501000001</v>
      </c>
      <c r="AH246" s="216"/>
      <c r="AI246" s="203">
        <f>AI248+AI251+AI260+AI254+AI257</f>
        <v>-40986.200883928541</v>
      </c>
      <c r="AJ246" s="203">
        <f t="shared" si="148"/>
        <v>-45904.544989999973</v>
      </c>
      <c r="AK246" s="216"/>
      <c r="AL246" s="208">
        <f t="shared" si="124"/>
        <v>0.83883132685913719</v>
      </c>
      <c r="AM246" s="203">
        <f>AM248+AM251+AM260+AM254+AM257</f>
        <v>213320.04911607143</v>
      </c>
      <c r="AN246" s="203">
        <f t="shared" si="149"/>
        <v>0</v>
      </c>
      <c r="AO246" s="203">
        <f t="shared" si="149"/>
        <v>0</v>
      </c>
      <c r="AP246" s="203">
        <f t="shared" si="149"/>
        <v>213320.04911607143</v>
      </c>
      <c r="AQ246" s="203">
        <f t="shared" si="149"/>
        <v>238918.45501000001</v>
      </c>
      <c r="AR246" s="203">
        <f t="shared" si="149"/>
        <v>0</v>
      </c>
      <c r="AS246" s="203">
        <f t="shared" si="149"/>
        <v>0</v>
      </c>
      <c r="AT246" s="203">
        <f t="shared" si="149"/>
        <v>0</v>
      </c>
      <c r="AU246" s="203">
        <f t="shared" si="149"/>
        <v>0</v>
      </c>
      <c r="AV246" s="203">
        <f t="shared" si="149"/>
        <v>0</v>
      </c>
      <c r="AW246" s="203">
        <f t="shared" si="149"/>
        <v>0</v>
      </c>
      <c r="AX246" s="203">
        <f t="shared" si="149"/>
        <v>0</v>
      </c>
      <c r="AY246" s="203">
        <f t="shared" si="149"/>
        <v>0</v>
      </c>
      <c r="AZ246" s="203">
        <f t="shared" si="149"/>
        <v>0</v>
      </c>
      <c r="BA246" s="203">
        <f t="shared" si="149"/>
        <v>0</v>
      </c>
      <c r="BB246" s="203">
        <f t="shared" si="149"/>
        <v>0</v>
      </c>
      <c r="BC246" s="203">
        <f t="shared" si="149"/>
        <v>0</v>
      </c>
      <c r="BD246" s="203">
        <f t="shared" si="149"/>
        <v>0</v>
      </c>
      <c r="BE246" s="203">
        <f t="shared" si="149"/>
        <v>0</v>
      </c>
      <c r="BF246" s="203">
        <f t="shared" si="149"/>
        <v>0</v>
      </c>
      <c r="BG246" s="210"/>
      <c r="BH246" s="210"/>
      <c r="BI246" s="207">
        <f>BI248+BI251+BI515+BI518+BI521+BI524</f>
        <v>0</v>
      </c>
      <c r="BJ246" s="207">
        <f>BJ248+BJ251+BJ515+BJ518+BJ521+BJ524</f>
        <v>0</v>
      </c>
      <c r="BK246" s="207">
        <f>BK248+BK251+BK515+BK518+BK521+BK524</f>
        <v>0</v>
      </c>
      <c r="BL246" s="211"/>
      <c r="BM246" s="211"/>
      <c r="BN246" s="210"/>
      <c r="BQ246" s="213"/>
      <c r="BR246" s="214"/>
      <c r="BS246" s="210"/>
    </row>
    <row r="247" spans="1:71" s="227" customFormat="1" x14ac:dyDescent="0.35">
      <c r="A247" s="499"/>
      <c r="B247" s="470"/>
      <c r="C247" s="217" t="s">
        <v>72</v>
      </c>
      <c r="D247" s="217" t="s">
        <v>73</v>
      </c>
      <c r="E247" s="218">
        <v>538927</v>
      </c>
      <c r="F247" s="218">
        <f>E247*1.12</f>
        <v>603598.24000000011</v>
      </c>
      <c r="G247" s="493">
        <v>1919</v>
      </c>
      <c r="H247" s="496"/>
      <c r="I247" s="219"/>
      <c r="J247" s="219">
        <f>I247*1.12</f>
        <v>0</v>
      </c>
      <c r="K247" s="463" t="s">
        <v>129</v>
      </c>
      <c r="L247" s="501" t="s">
        <v>155</v>
      </c>
      <c r="M247" s="459" t="s">
        <v>113</v>
      </c>
      <c r="N247" s="220">
        <f t="shared" ref="N247:O261" si="150">P247</f>
        <v>223726085.85714284</v>
      </c>
      <c r="O247" s="220">
        <f t="shared" si="150"/>
        <v>250573216.16</v>
      </c>
      <c r="P247" s="220">
        <f t="shared" ref="P247:P261" si="151">Q247/1.12</f>
        <v>223726085.85714284</v>
      </c>
      <c r="Q247" s="220">
        <f>(11389691.21+91117533.92+11389691.21+68338150.44+34169074.69+34169074.69)</f>
        <v>250573216.16</v>
      </c>
      <c r="R247" s="454" t="s">
        <v>125</v>
      </c>
      <c r="S247" s="448">
        <v>110</v>
      </c>
      <c r="T247" s="221"/>
      <c r="U247" s="221"/>
      <c r="V247" s="221"/>
      <c r="W247" s="221">
        <v>262375</v>
      </c>
      <c r="X247" s="222">
        <f t="shared" ref="X247:X261" si="152">W247*1.12</f>
        <v>293860</v>
      </c>
      <c r="Y247" s="221">
        <f>20+73+17</f>
        <v>110</v>
      </c>
      <c r="Z247" s="221">
        <f t="shared" ref="Z247:AB261" si="153">T247+W247</f>
        <v>262375</v>
      </c>
      <c r="AA247" s="221">
        <f t="shared" si="153"/>
        <v>293860</v>
      </c>
      <c r="AB247" s="221">
        <f t="shared" si="153"/>
        <v>110</v>
      </c>
      <c r="AC247" s="221"/>
      <c r="AD247" s="221">
        <f>AC247*1.12</f>
        <v>0</v>
      </c>
      <c r="AE247" s="221"/>
      <c r="AF247" s="221"/>
      <c r="AG247" s="222">
        <f t="shared" ref="AG247:AG261" si="154">AF247*1.12</f>
        <v>0</v>
      </c>
      <c r="AH247" s="221"/>
      <c r="AI247" s="222"/>
      <c r="AJ247" s="222">
        <f>AI247*1.12</f>
        <v>0</v>
      </c>
      <c r="AK247" s="218">
        <f>AH247-AE247</f>
        <v>0</v>
      </c>
      <c r="AL247" s="223" t="str">
        <f t="shared" si="124"/>
        <v/>
      </c>
      <c r="AM247" s="224"/>
      <c r="AN247" s="224"/>
      <c r="AO247" s="224"/>
      <c r="AP247" s="222"/>
      <c r="AQ247" s="222">
        <f t="shared" ref="AQ247:AQ261" si="155">AP247*1.12</f>
        <v>0</v>
      </c>
      <c r="AR247" s="222"/>
      <c r="AS247" s="225"/>
      <c r="AT247" s="222"/>
      <c r="AU247" s="222"/>
      <c r="AV247" s="222"/>
      <c r="AW247" s="222"/>
      <c r="AX247" s="222"/>
      <c r="AY247" s="222"/>
      <c r="AZ247" s="225"/>
      <c r="BA247" s="222"/>
      <c r="BB247" s="222"/>
      <c r="BC247" s="222"/>
      <c r="BD247" s="222"/>
      <c r="BE247" s="222"/>
      <c r="BF247" s="225"/>
      <c r="BG247" s="226"/>
      <c r="BH247" s="226"/>
      <c r="BI247" s="226"/>
      <c r="BJ247" s="226"/>
      <c r="BK247" s="226"/>
      <c r="BL247" s="226"/>
      <c r="BM247" s="226"/>
      <c r="BN247" s="226"/>
      <c r="BQ247" s="228"/>
      <c r="BR247" s="229"/>
      <c r="BS247" s="226"/>
    </row>
    <row r="248" spans="1:71" s="103" customFormat="1" x14ac:dyDescent="0.35">
      <c r="A248" s="499"/>
      <c r="B248" s="470"/>
      <c r="C248" s="122" t="s">
        <v>74</v>
      </c>
      <c r="D248" s="122" t="s">
        <v>75</v>
      </c>
      <c r="E248" s="185">
        <f>E247</f>
        <v>538927</v>
      </c>
      <c r="F248" s="185">
        <f>E248*1.12</f>
        <v>603598.24000000011</v>
      </c>
      <c r="G248" s="494"/>
      <c r="H248" s="497"/>
      <c r="I248" s="189">
        <v>254306.24999999997</v>
      </c>
      <c r="J248" s="189">
        <f>I248*1.12</f>
        <v>284823</v>
      </c>
      <c r="K248" s="463"/>
      <c r="L248" s="501"/>
      <c r="M248" s="459"/>
      <c r="N248" s="125">
        <f t="shared" si="150"/>
        <v>223726085.85714284</v>
      </c>
      <c r="O248" s="125">
        <f t="shared" si="150"/>
        <v>250573216.16</v>
      </c>
      <c r="P248" s="125">
        <f t="shared" si="151"/>
        <v>223726085.85714284</v>
      </c>
      <c r="Q248" s="125">
        <f>Q247</f>
        <v>250573216.16</v>
      </c>
      <c r="R248" s="454"/>
      <c r="S248" s="448"/>
      <c r="T248" s="124"/>
      <c r="U248" s="124"/>
      <c r="V248" s="124"/>
      <c r="W248" s="124">
        <f>23168.91522/1.12</f>
        <v>20686.531446428569</v>
      </c>
      <c r="X248" s="123">
        <f t="shared" si="152"/>
        <v>23168.915219999999</v>
      </c>
      <c r="Y248" s="124"/>
      <c r="Z248" s="124">
        <f t="shared" si="153"/>
        <v>20686.531446428569</v>
      </c>
      <c r="AA248" s="124">
        <f t="shared" si="153"/>
        <v>23168.915219999999</v>
      </c>
      <c r="AB248" s="124"/>
      <c r="AC248" s="124">
        <v>254306.24999999997</v>
      </c>
      <c r="AD248" s="124">
        <f>AC248*1.12</f>
        <v>284823</v>
      </c>
      <c r="AE248" s="124"/>
      <c r="AF248" s="124">
        <f>118496.23484/1.12+24949.8607/1.12</f>
        <v>128076.87101785713</v>
      </c>
      <c r="AG248" s="123">
        <f t="shared" si="154"/>
        <v>143446.09554000001</v>
      </c>
      <c r="AH248" s="124"/>
      <c r="AI248" s="123">
        <f>AF248+AF251+AF254+AF257+AF260-AC248</f>
        <v>-40986.200883928541</v>
      </c>
      <c r="AJ248" s="123">
        <f>AI248*1.12</f>
        <v>-45904.544989999973</v>
      </c>
      <c r="AK248" s="123"/>
      <c r="AL248" s="126">
        <f t="shared" si="124"/>
        <v>0.50363241571080986</v>
      </c>
      <c r="AM248" s="127">
        <f>AF248</f>
        <v>128076.87101785713</v>
      </c>
      <c r="AN248" s="127"/>
      <c r="AO248" s="127"/>
      <c r="AP248" s="123">
        <f>AF248</f>
        <v>128076.87101785713</v>
      </c>
      <c r="AQ248" s="123">
        <f t="shared" si="155"/>
        <v>143446.09554000001</v>
      </c>
      <c r="AR248" s="123"/>
      <c r="AS248" s="123"/>
      <c r="AT248" s="123"/>
      <c r="AU248" s="123"/>
      <c r="AV248" s="123"/>
      <c r="AW248" s="123"/>
      <c r="AX248" s="123"/>
      <c r="AY248" s="123"/>
      <c r="AZ248" s="123"/>
      <c r="BA248" s="123"/>
      <c r="BB248" s="123"/>
      <c r="BC248" s="123"/>
      <c r="BD248" s="123"/>
      <c r="BE248" s="123"/>
      <c r="BF248" s="123"/>
      <c r="BG248" s="106"/>
      <c r="BH248" s="106"/>
      <c r="BI248" s="106"/>
      <c r="BJ248" s="106"/>
      <c r="BK248" s="106"/>
      <c r="BL248" s="106"/>
      <c r="BM248" s="106"/>
      <c r="BN248" s="106"/>
      <c r="BQ248" s="29"/>
      <c r="BR248" s="107"/>
      <c r="BS248" s="106"/>
    </row>
    <row r="249" spans="1:71" x14ac:dyDescent="0.35">
      <c r="A249" s="499"/>
      <c r="B249" s="470"/>
      <c r="C249" s="129" t="s">
        <v>74</v>
      </c>
      <c r="D249" s="129" t="s">
        <v>76</v>
      </c>
      <c r="E249" s="187">
        <f>E248</f>
        <v>538927</v>
      </c>
      <c r="F249" s="187">
        <f>F248</f>
        <v>603598.24000000011</v>
      </c>
      <c r="G249" s="494"/>
      <c r="H249" s="497"/>
      <c r="I249" s="191">
        <f>I248</f>
        <v>254306.24999999997</v>
      </c>
      <c r="J249" s="191">
        <f>J248</f>
        <v>284823</v>
      </c>
      <c r="K249" s="463"/>
      <c r="L249" s="501"/>
      <c r="M249" s="459"/>
      <c r="N249" s="132">
        <f t="shared" si="150"/>
        <v>223726085.85714284</v>
      </c>
      <c r="O249" s="132">
        <f t="shared" si="150"/>
        <v>250573216.16</v>
      </c>
      <c r="P249" s="132">
        <f t="shared" si="151"/>
        <v>223726085.85714284</v>
      </c>
      <c r="Q249" s="132">
        <f>Q248</f>
        <v>250573216.16</v>
      </c>
      <c r="R249" s="454"/>
      <c r="S249" s="448"/>
      <c r="T249" s="131"/>
      <c r="U249" s="131"/>
      <c r="V249" s="131"/>
      <c r="W249" s="131">
        <f>W248</f>
        <v>20686.531446428569</v>
      </c>
      <c r="X249" s="130">
        <f t="shared" si="152"/>
        <v>23168.915219999999</v>
      </c>
      <c r="Y249" s="131"/>
      <c r="Z249" s="131">
        <f t="shared" si="153"/>
        <v>20686.531446428569</v>
      </c>
      <c r="AA249" s="131">
        <f t="shared" si="153"/>
        <v>23168.915219999999</v>
      </c>
      <c r="AB249" s="131"/>
      <c r="AC249" s="131">
        <f>AC248</f>
        <v>254306.24999999997</v>
      </c>
      <c r="AD249" s="131">
        <f>AD248</f>
        <v>284823</v>
      </c>
      <c r="AE249" s="131"/>
      <c r="AF249" s="131">
        <f>AF248</f>
        <v>128076.87101785713</v>
      </c>
      <c r="AG249" s="130">
        <f t="shared" si="154"/>
        <v>143446.09554000001</v>
      </c>
      <c r="AH249" s="131"/>
      <c r="AI249" s="130">
        <f>AI248</f>
        <v>-40986.200883928541</v>
      </c>
      <c r="AJ249" s="130">
        <f>AJ248</f>
        <v>-45904.544989999973</v>
      </c>
      <c r="AK249" s="130"/>
      <c r="AL249" s="133">
        <f t="shared" si="124"/>
        <v>0.50363241571080986</v>
      </c>
      <c r="AM249" s="134">
        <f>AF249</f>
        <v>128076.87101785713</v>
      </c>
      <c r="AN249" s="134"/>
      <c r="AO249" s="134"/>
      <c r="AP249" s="130">
        <f>AF249</f>
        <v>128076.87101785713</v>
      </c>
      <c r="AQ249" s="130">
        <f t="shared" si="155"/>
        <v>143446.09554000001</v>
      </c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31"/>
      <c r="BH249" s="31"/>
      <c r="BI249" s="31"/>
      <c r="BJ249" s="31"/>
      <c r="BK249" s="31"/>
      <c r="BL249" s="31"/>
      <c r="BM249" s="31"/>
      <c r="BN249" s="31"/>
      <c r="BQ249" s="27"/>
      <c r="BR249" s="28"/>
      <c r="BS249" s="31"/>
    </row>
    <row r="250" spans="1:71" s="227" customFormat="1" x14ac:dyDescent="0.35">
      <c r="A250" s="499"/>
      <c r="B250" s="470"/>
      <c r="C250" s="217" t="s">
        <v>72</v>
      </c>
      <c r="D250" s="217" t="s">
        <v>73</v>
      </c>
      <c r="E250" s="218"/>
      <c r="F250" s="218"/>
      <c r="G250" s="494"/>
      <c r="H250" s="497"/>
      <c r="I250" s="219"/>
      <c r="J250" s="219"/>
      <c r="K250" s="463" t="s">
        <v>123</v>
      </c>
      <c r="L250" s="501" t="s">
        <v>124</v>
      </c>
      <c r="M250" s="459" t="s">
        <v>113</v>
      </c>
      <c r="N250" s="220">
        <f t="shared" si="150"/>
        <v>71185574.044642851</v>
      </c>
      <c r="O250" s="220">
        <f t="shared" si="150"/>
        <v>79727842.930000007</v>
      </c>
      <c r="P250" s="220">
        <f t="shared" si="151"/>
        <v>71185574.044642851</v>
      </c>
      <c r="Q250" s="220">
        <f>45558767.39+34169075.54</f>
        <v>79727842.930000007</v>
      </c>
      <c r="R250" s="454" t="s">
        <v>125</v>
      </c>
      <c r="S250" s="448">
        <f>20+15</f>
        <v>35</v>
      </c>
      <c r="T250" s="221"/>
      <c r="U250" s="221"/>
      <c r="V250" s="221"/>
      <c r="W250" s="221">
        <f>28103+28244</f>
        <v>56347</v>
      </c>
      <c r="X250" s="222">
        <f t="shared" si="152"/>
        <v>63108.640000000007</v>
      </c>
      <c r="Y250" s="221">
        <f>15+5+5+10</f>
        <v>35</v>
      </c>
      <c r="Z250" s="221">
        <f t="shared" si="153"/>
        <v>56347</v>
      </c>
      <c r="AA250" s="221">
        <f t="shared" si="153"/>
        <v>63108.640000000007</v>
      </c>
      <c r="AB250" s="221">
        <f t="shared" si="153"/>
        <v>35</v>
      </c>
      <c r="AC250" s="221"/>
      <c r="AD250" s="221"/>
      <c r="AE250" s="221"/>
      <c r="AF250" s="221"/>
      <c r="AG250" s="222">
        <f t="shared" si="154"/>
        <v>0</v>
      </c>
      <c r="AH250" s="221"/>
      <c r="AI250" s="222"/>
      <c r="AJ250" s="222">
        <f>AI250*1.12</f>
        <v>0</v>
      </c>
      <c r="AK250" s="218">
        <f>AH250-AE250</f>
        <v>0</v>
      </c>
      <c r="AL250" s="223" t="str">
        <f t="shared" si="124"/>
        <v/>
      </c>
      <c r="AM250" s="224"/>
      <c r="AN250" s="224"/>
      <c r="AO250" s="224"/>
      <c r="AP250" s="222"/>
      <c r="AQ250" s="222">
        <f t="shared" si="155"/>
        <v>0</v>
      </c>
      <c r="AR250" s="222"/>
      <c r="AS250" s="222"/>
      <c r="AT250" s="222"/>
      <c r="AU250" s="222"/>
      <c r="AV250" s="222"/>
      <c r="AW250" s="222"/>
      <c r="AX250" s="222"/>
      <c r="AY250" s="222"/>
      <c r="AZ250" s="225"/>
      <c r="BA250" s="222"/>
      <c r="BB250" s="222"/>
      <c r="BC250" s="222"/>
      <c r="BD250" s="222"/>
      <c r="BE250" s="222"/>
      <c r="BF250" s="222"/>
      <c r="BG250" s="226"/>
      <c r="BH250" s="226"/>
      <c r="BI250" s="226"/>
      <c r="BJ250" s="226"/>
      <c r="BK250" s="226"/>
      <c r="BL250" s="226"/>
      <c r="BM250" s="226"/>
      <c r="BN250" s="226"/>
      <c r="BQ250" s="228"/>
      <c r="BR250" s="229"/>
      <c r="BS250" s="226"/>
    </row>
    <row r="251" spans="1:71" s="103" customFormat="1" x14ac:dyDescent="0.35">
      <c r="A251" s="499"/>
      <c r="B251" s="470"/>
      <c r="C251" s="122" t="s">
        <v>74</v>
      </c>
      <c r="D251" s="122" t="s">
        <v>75</v>
      </c>
      <c r="E251" s="185"/>
      <c r="F251" s="185"/>
      <c r="G251" s="494"/>
      <c r="H251" s="497"/>
      <c r="I251" s="189"/>
      <c r="J251" s="189"/>
      <c r="K251" s="463"/>
      <c r="L251" s="501"/>
      <c r="M251" s="459"/>
      <c r="N251" s="125">
        <f t="shared" si="150"/>
        <v>71185574.044642851</v>
      </c>
      <c r="O251" s="125">
        <f t="shared" si="150"/>
        <v>79727842.930000007</v>
      </c>
      <c r="P251" s="125">
        <f t="shared" si="151"/>
        <v>71185574.044642851</v>
      </c>
      <c r="Q251" s="125">
        <f>Q250</f>
        <v>79727842.930000007</v>
      </c>
      <c r="R251" s="454"/>
      <c r="S251" s="448"/>
      <c r="T251" s="124"/>
      <c r="U251" s="124"/>
      <c r="V251" s="124"/>
      <c r="W251" s="124"/>
      <c r="X251" s="123">
        <f t="shared" si="152"/>
        <v>0</v>
      </c>
      <c r="Y251" s="124"/>
      <c r="Z251" s="124">
        <f t="shared" si="153"/>
        <v>0</v>
      </c>
      <c r="AA251" s="124">
        <f t="shared" si="153"/>
        <v>0</v>
      </c>
      <c r="AB251" s="124"/>
      <c r="AC251" s="124"/>
      <c r="AD251" s="124"/>
      <c r="AE251" s="124"/>
      <c r="AF251" s="124">
        <f>22548.62512/1.12+21646.20702/1.12-12823.96237/1.12</f>
        <v>28009.705151785711</v>
      </c>
      <c r="AG251" s="123">
        <f t="shared" si="154"/>
        <v>31370.869769999998</v>
      </c>
      <c r="AH251" s="124"/>
      <c r="AI251" s="123"/>
      <c r="AJ251" s="123">
        <f>AI251*1.12</f>
        <v>0</v>
      </c>
      <c r="AK251" s="123"/>
      <c r="AL251" s="126" t="str">
        <f t="shared" si="124"/>
        <v/>
      </c>
      <c r="AM251" s="127">
        <f>AF251</f>
        <v>28009.705151785711</v>
      </c>
      <c r="AN251" s="127"/>
      <c r="AO251" s="127"/>
      <c r="AP251" s="123">
        <f>AF251</f>
        <v>28009.705151785711</v>
      </c>
      <c r="AQ251" s="123">
        <f t="shared" si="155"/>
        <v>31370.869769999998</v>
      </c>
      <c r="AR251" s="123"/>
      <c r="AS251" s="123"/>
      <c r="AT251" s="123"/>
      <c r="AU251" s="123"/>
      <c r="AV251" s="123"/>
      <c r="AW251" s="123"/>
      <c r="AX251" s="123"/>
      <c r="AY251" s="123"/>
      <c r="AZ251" s="123"/>
      <c r="BA251" s="123"/>
      <c r="BB251" s="123"/>
      <c r="BC251" s="123"/>
      <c r="BD251" s="123"/>
      <c r="BE251" s="123"/>
      <c r="BF251" s="123"/>
      <c r="BG251" s="106"/>
      <c r="BH251" s="106"/>
      <c r="BI251" s="106"/>
      <c r="BJ251" s="106"/>
      <c r="BK251" s="106"/>
      <c r="BL251" s="106"/>
      <c r="BM251" s="106"/>
      <c r="BN251" s="106"/>
      <c r="BQ251" s="29"/>
      <c r="BR251" s="107"/>
      <c r="BS251" s="106"/>
    </row>
    <row r="252" spans="1:71" x14ac:dyDescent="0.35">
      <c r="A252" s="499"/>
      <c r="B252" s="470"/>
      <c r="C252" s="129" t="s">
        <v>74</v>
      </c>
      <c r="D252" s="129" t="s">
        <v>76</v>
      </c>
      <c r="E252" s="187"/>
      <c r="F252" s="187"/>
      <c r="G252" s="494"/>
      <c r="H252" s="497"/>
      <c r="I252" s="191"/>
      <c r="J252" s="191"/>
      <c r="K252" s="463"/>
      <c r="L252" s="501"/>
      <c r="M252" s="459"/>
      <c r="N252" s="132">
        <f t="shared" si="150"/>
        <v>71185574.044642851</v>
      </c>
      <c r="O252" s="132">
        <f t="shared" si="150"/>
        <v>79727842.930000007</v>
      </c>
      <c r="P252" s="132">
        <f t="shared" si="151"/>
        <v>71185574.044642851</v>
      </c>
      <c r="Q252" s="132">
        <f>Q251</f>
        <v>79727842.930000007</v>
      </c>
      <c r="R252" s="454"/>
      <c r="S252" s="448"/>
      <c r="T252" s="131"/>
      <c r="U252" s="131"/>
      <c r="V252" s="131"/>
      <c r="W252" s="131">
        <f>W251</f>
        <v>0</v>
      </c>
      <c r="X252" s="130">
        <f t="shared" si="152"/>
        <v>0</v>
      </c>
      <c r="Y252" s="131"/>
      <c r="Z252" s="131">
        <f t="shared" si="153"/>
        <v>0</v>
      </c>
      <c r="AA252" s="131">
        <f t="shared" si="153"/>
        <v>0</v>
      </c>
      <c r="AB252" s="131"/>
      <c r="AC252" s="131"/>
      <c r="AD252" s="131"/>
      <c r="AE252" s="131"/>
      <c r="AF252" s="131">
        <f>AF251</f>
        <v>28009.705151785711</v>
      </c>
      <c r="AG252" s="130">
        <f t="shared" si="154"/>
        <v>31370.869769999998</v>
      </c>
      <c r="AH252" s="131"/>
      <c r="AI252" s="130">
        <f>AI251</f>
        <v>0</v>
      </c>
      <c r="AJ252" s="130">
        <f>AJ251</f>
        <v>0</v>
      </c>
      <c r="AK252" s="130"/>
      <c r="AL252" s="133" t="str">
        <f t="shared" si="124"/>
        <v/>
      </c>
      <c r="AM252" s="134">
        <f>AF252</f>
        <v>28009.705151785711</v>
      </c>
      <c r="AN252" s="134"/>
      <c r="AO252" s="134"/>
      <c r="AP252" s="130">
        <f>AF252</f>
        <v>28009.705151785711</v>
      </c>
      <c r="AQ252" s="130">
        <f t="shared" si="155"/>
        <v>31370.869769999998</v>
      </c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31"/>
      <c r="BH252" s="31"/>
      <c r="BI252" s="31"/>
      <c r="BJ252" s="31"/>
      <c r="BK252" s="31"/>
      <c r="BL252" s="31"/>
      <c r="BM252" s="31"/>
      <c r="BN252" s="31"/>
      <c r="BQ252" s="27"/>
      <c r="BR252" s="28"/>
      <c r="BS252" s="31"/>
    </row>
    <row r="253" spans="1:71" s="227" customFormat="1" x14ac:dyDescent="0.35">
      <c r="A253" s="499"/>
      <c r="B253" s="470"/>
      <c r="C253" s="217" t="s">
        <v>72</v>
      </c>
      <c r="D253" s="217" t="s">
        <v>73</v>
      </c>
      <c r="E253" s="218"/>
      <c r="F253" s="218"/>
      <c r="G253" s="494"/>
      <c r="H253" s="497"/>
      <c r="I253" s="219"/>
      <c r="J253" s="219"/>
      <c r="K253" s="463" t="s">
        <v>131</v>
      </c>
      <c r="L253" s="501" t="s">
        <v>156</v>
      </c>
      <c r="M253" s="459" t="s">
        <v>113</v>
      </c>
      <c r="N253" s="220">
        <f t="shared" si="150"/>
        <v>30508103.160714284</v>
      </c>
      <c r="O253" s="220">
        <f t="shared" si="150"/>
        <v>34169075.539999999</v>
      </c>
      <c r="P253" s="220">
        <f t="shared" si="151"/>
        <v>30508103.160714284</v>
      </c>
      <c r="Q253" s="220">
        <v>34169075.539999999</v>
      </c>
      <c r="R253" s="454" t="s">
        <v>125</v>
      </c>
      <c r="S253" s="448">
        <v>15</v>
      </c>
      <c r="T253" s="221"/>
      <c r="U253" s="221"/>
      <c r="V253" s="221"/>
      <c r="W253" s="221">
        <v>78929</v>
      </c>
      <c r="X253" s="222">
        <f t="shared" si="152"/>
        <v>88400.48000000001</v>
      </c>
      <c r="Y253" s="221">
        <f>4+11</f>
        <v>15</v>
      </c>
      <c r="Z253" s="221">
        <f t="shared" si="153"/>
        <v>78929</v>
      </c>
      <c r="AA253" s="221">
        <f t="shared" si="153"/>
        <v>88400.48000000001</v>
      </c>
      <c r="AB253" s="221">
        <f t="shared" si="153"/>
        <v>15</v>
      </c>
      <c r="AC253" s="221"/>
      <c r="AD253" s="221"/>
      <c r="AE253" s="221"/>
      <c r="AF253" s="221"/>
      <c r="AG253" s="222">
        <f t="shared" si="154"/>
        <v>0</v>
      </c>
      <c r="AH253" s="221"/>
      <c r="AI253" s="222"/>
      <c r="AJ253" s="222">
        <f>AI253*1.12</f>
        <v>0</v>
      </c>
      <c r="AK253" s="218">
        <f>AH253-AE253</f>
        <v>0</v>
      </c>
      <c r="AL253" s="223" t="str">
        <f t="shared" si="124"/>
        <v/>
      </c>
      <c r="AM253" s="224"/>
      <c r="AN253" s="224"/>
      <c r="AO253" s="224"/>
      <c r="AP253" s="222"/>
      <c r="AQ253" s="222">
        <f t="shared" si="155"/>
        <v>0</v>
      </c>
      <c r="AR253" s="222"/>
      <c r="AS253" s="222"/>
      <c r="AT253" s="222"/>
      <c r="AU253" s="222"/>
      <c r="AV253" s="222"/>
      <c r="AW253" s="222"/>
      <c r="AX253" s="222"/>
      <c r="AY253" s="222"/>
      <c r="AZ253" s="225"/>
      <c r="BA253" s="222"/>
      <c r="BB253" s="222"/>
      <c r="BC253" s="222"/>
      <c r="BD253" s="222"/>
      <c r="BE253" s="222"/>
      <c r="BF253" s="222"/>
      <c r="BG253" s="226"/>
      <c r="BH253" s="226"/>
      <c r="BI253" s="226"/>
      <c r="BJ253" s="226"/>
      <c r="BK253" s="226"/>
      <c r="BL253" s="226"/>
      <c r="BM253" s="226"/>
      <c r="BN253" s="226"/>
      <c r="BQ253" s="228"/>
      <c r="BR253" s="229"/>
      <c r="BS253" s="226"/>
    </row>
    <row r="254" spans="1:71" s="103" customFormat="1" x14ac:dyDescent="0.35">
      <c r="A254" s="499"/>
      <c r="B254" s="470"/>
      <c r="C254" s="122" t="s">
        <v>74</v>
      </c>
      <c r="D254" s="122" t="s">
        <v>75</v>
      </c>
      <c r="E254" s="185"/>
      <c r="F254" s="185"/>
      <c r="G254" s="494"/>
      <c r="H254" s="497"/>
      <c r="I254" s="189"/>
      <c r="J254" s="189"/>
      <c r="K254" s="463"/>
      <c r="L254" s="501"/>
      <c r="M254" s="459"/>
      <c r="N254" s="125">
        <f t="shared" si="150"/>
        <v>30508103.160714284</v>
      </c>
      <c r="O254" s="125">
        <f t="shared" si="150"/>
        <v>34169075.539999999</v>
      </c>
      <c r="P254" s="125">
        <f t="shared" si="151"/>
        <v>30508103.160714284</v>
      </c>
      <c r="Q254" s="125">
        <f>Q253</f>
        <v>34169075.539999999</v>
      </c>
      <c r="R254" s="454"/>
      <c r="S254" s="448"/>
      <c r="T254" s="124"/>
      <c r="U254" s="124"/>
      <c r="V254" s="124"/>
      <c r="W254" s="124"/>
      <c r="X254" s="123">
        <f t="shared" si="152"/>
        <v>0</v>
      </c>
      <c r="Y254" s="124"/>
      <c r="Z254" s="124">
        <f t="shared" si="153"/>
        <v>0</v>
      </c>
      <c r="AA254" s="124">
        <f t="shared" si="153"/>
        <v>0</v>
      </c>
      <c r="AB254" s="124"/>
      <c r="AC254" s="124"/>
      <c r="AD254" s="124"/>
      <c r="AE254" s="124"/>
      <c r="AF254" s="124">
        <f>9472.14016/1.12+15351.98791/1.12</f>
        <v>22164.400062499997</v>
      </c>
      <c r="AG254" s="123">
        <f t="shared" si="154"/>
        <v>24824.128069999999</v>
      </c>
      <c r="AH254" s="124"/>
      <c r="AI254" s="123"/>
      <c r="AJ254" s="123">
        <f>AI254*1.12</f>
        <v>0</v>
      </c>
      <c r="AK254" s="123"/>
      <c r="AL254" s="126" t="str">
        <f t="shared" si="124"/>
        <v/>
      </c>
      <c r="AM254" s="127">
        <f>AF254</f>
        <v>22164.400062499997</v>
      </c>
      <c r="AN254" s="127"/>
      <c r="AO254" s="127"/>
      <c r="AP254" s="123">
        <f>AF254</f>
        <v>22164.400062499997</v>
      </c>
      <c r="AQ254" s="123">
        <f t="shared" si="155"/>
        <v>24824.128069999999</v>
      </c>
      <c r="AR254" s="123"/>
      <c r="AS254" s="123"/>
      <c r="AT254" s="123"/>
      <c r="AU254" s="123"/>
      <c r="AV254" s="123"/>
      <c r="AW254" s="123"/>
      <c r="AX254" s="123"/>
      <c r="AY254" s="123"/>
      <c r="AZ254" s="123"/>
      <c r="BA254" s="123"/>
      <c r="BB254" s="123"/>
      <c r="BC254" s="123"/>
      <c r="BD254" s="123"/>
      <c r="BE254" s="123"/>
      <c r="BF254" s="123"/>
      <c r="BG254" s="106"/>
      <c r="BH254" s="106"/>
      <c r="BI254" s="106"/>
      <c r="BJ254" s="106"/>
      <c r="BK254" s="106"/>
      <c r="BL254" s="106"/>
      <c r="BM254" s="106"/>
      <c r="BN254" s="106"/>
      <c r="BQ254" s="29"/>
      <c r="BR254" s="107"/>
      <c r="BS254" s="106"/>
    </row>
    <row r="255" spans="1:71" x14ac:dyDescent="0.35">
      <c r="A255" s="499"/>
      <c r="B255" s="470"/>
      <c r="C255" s="129" t="s">
        <v>74</v>
      </c>
      <c r="D255" s="129" t="s">
        <v>76</v>
      </c>
      <c r="E255" s="187"/>
      <c r="F255" s="187"/>
      <c r="G255" s="494"/>
      <c r="H255" s="497"/>
      <c r="I255" s="191"/>
      <c r="J255" s="191"/>
      <c r="K255" s="463"/>
      <c r="L255" s="501"/>
      <c r="M255" s="459"/>
      <c r="N255" s="132">
        <f t="shared" si="150"/>
        <v>30508103.160714284</v>
      </c>
      <c r="O255" s="132">
        <f t="shared" si="150"/>
        <v>34169075.539999999</v>
      </c>
      <c r="P255" s="132">
        <f t="shared" si="151"/>
        <v>30508103.160714284</v>
      </c>
      <c r="Q255" s="132">
        <f>Q254</f>
        <v>34169075.539999999</v>
      </c>
      <c r="R255" s="454"/>
      <c r="S255" s="448"/>
      <c r="T255" s="131"/>
      <c r="U255" s="131"/>
      <c r="V255" s="131"/>
      <c r="W255" s="131">
        <f>W254</f>
        <v>0</v>
      </c>
      <c r="X255" s="130">
        <f t="shared" si="152"/>
        <v>0</v>
      </c>
      <c r="Y255" s="131"/>
      <c r="Z255" s="131">
        <f t="shared" si="153"/>
        <v>0</v>
      </c>
      <c r="AA255" s="131">
        <f t="shared" si="153"/>
        <v>0</v>
      </c>
      <c r="AB255" s="131"/>
      <c r="AC255" s="131"/>
      <c r="AD255" s="131"/>
      <c r="AE255" s="131"/>
      <c r="AF255" s="131">
        <f>AF254</f>
        <v>22164.400062499997</v>
      </c>
      <c r="AG255" s="130">
        <f t="shared" si="154"/>
        <v>24824.128069999999</v>
      </c>
      <c r="AH255" s="131"/>
      <c r="AI255" s="130">
        <f>AI254</f>
        <v>0</v>
      </c>
      <c r="AJ255" s="130">
        <f>AJ254</f>
        <v>0</v>
      </c>
      <c r="AK255" s="130"/>
      <c r="AL255" s="133" t="str">
        <f t="shared" si="124"/>
        <v/>
      </c>
      <c r="AM255" s="134">
        <f>AF255</f>
        <v>22164.400062499997</v>
      </c>
      <c r="AN255" s="134"/>
      <c r="AO255" s="134"/>
      <c r="AP255" s="130">
        <f>AF255</f>
        <v>22164.400062499997</v>
      </c>
      <c r="AQ255" s="130">
        <f t="shared" si="155"/>
        <v>24824.128069999999</v>
      </c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31"/>
      <c r="BH255" s="31"/>
      <c r="BI255" s="31"/>
      <c r="BJ255" s="31"/>
      <c r="BK255" s="31"/>
      <c r="BL255" s="31"/>
      <c r="BM255" s="31"/>
      <c r="BN255" s="31"/>
      <c r="BQ255" s="27"/>
      <c r="BR255" s="28"/>
      <c r="BS255" s="31"/>
    </row>
    <row r="256" spans="1:71" s="227" customFormat="1" x14ac:dyDescent="0.35">
      <c r="A256" s="499"/>
      <c r="B256" s="470"/>
      <c r="C256" s="217" t="s">
        <v>72</v>
      </c>
      <c r="D256" s="217" t="s">
        <v>73</v>
      </c>
      <c r="E256" s="218"/>
      <c r="F256" s="218"/>
      <c r="G256" s="494"/>
      <c r="H256" s="497"/>
      <c r="I256" s="219"/>
      <c r="J256" s="219"/>
      <c r="K256" s="463" t="s">
        <v>135</v>
      </c>
      <c r="L256" s="501" t="s">
        <v>157</v>
      </c>
      <c r="M256" s="459" t="s">
        <v>113</v>
      </c>
      <c r="N256" s="220">
        <f t="shared" si="150"/>
        <v>30508103.160714284</v>
      </c>
      <c r="O256" s="220">
        <f t="shared" si="150"/>
        <v>34169075.539999999</v>
      </c>
      <c r="P256" s="220">
        <f t="shared" si="151"/>
        <v>30508103.160714284</v>
      </c>
      <c r="Q256" s="220">
        <v>34169075.539999999</v>
      </c>
      <c r="R256" s="454" t="s">
        <v>125</v>
      </c>
      <c r="S256" s="448">
        <v>15</v>
      </c>
      <c r="T256" s="221"/>
      <c r="U256" s="221"/>
      <c r="V256" s="221"/>
      <c r="W256" s="221">
        <v>31287</v>
      </c>
      <c r="X256" s="222">
        <f t="shared" si="152"/>
        <v>35041.440000000002</v>
      </c>
      <c r="Y256" s="221">
        <f>8+7</f>
        <v>15</v>
      </c>
      <c r="Z256" s="221">
        <f t="shared" si="153"/>
        <v>31287</v>
      </c>
      <c r="AA256" s="221">
        <f t="shared" si="153"/>
        <v>35041.440000000002</v>
      </c>
      <c r="AB256" s="221">
        <f t="shared" si="153"/>
        <v>15</v>
      </c>
      <c r="AC256" s="221"/>
      <c r="AD256" s="221"/>
      <c r="AE256" s="221"/>
      <c r="AF256" s="221"/>
      <c r="AG256" s="222">
        <f t="shared" si="154"/>
        <v>0</v>
      </c>
      <c r="AH256" s="221"/>
      <c r="AI256" s="222"/>
      <c r="AJ256" s="222">
        <f>AI256*1.12</f>
        <v>0</v>
      </c>
      <c r="AK256" s="218">
        <f>AH256-AE256</f>
        <v>0</v>
      </c>
      <c r="AL256" s="223" t="str">
        <f t="shared" si="124"/>
        <v/>
      </c>
      <c r="AM256" s="224"/>
      <c r="AN256" s="224"/>
      <c r="AO256" s="224"/>
      <c r="AP256" s="222"/>
      <c r="AQ256" s="222">
        <f t="shared" si="155"/>
        <v>0</v>
      </c>
      <c r="AR256" s="222"/>
      <c r="AS256" s="222"/>
      <c r="AT256" s="222"/>
      <c r="AU256" s="222"/>
      <c r="AV256" s="222"/>
      <c r="AW256" s="222"/>
      <c r="AX256" s="222"/>
      <c r="AY256" s="222"/>
      <c r="AZ256" s="225"/>
      <c r="BA256" s="222"/>
      <c r="BB256" s="222"/>
      <c r="BC256" s="222"/>
      <c r="BD256" s="222"/>
      <c r="BE256" s="222"/>
      <c r="BF256" s="222"/>
      <c r="BG256" s="226"/>
      <c r="BH256" s="226"/>
      <c r="BI256" s="226"/>
      <c r="BJ256" s="226"/>
      <c r="BK256" s="226"/>
      <c r="BL256" s="226"/>
      <c r="BM256" s="226"/>
      <c r="BN256" s="226"/>
      <c r="BQ256" s="228"/>
      <c r="BR256" s="229"/>
      <c r="BS256" s="226"/>
    </row>
    <row r="257" spans="1:71" s="103" customFormat="1" x14ac:dyDescent="0.35">
      <c r="A257" s="499"/>
      <c r="B257" s="470"/>
      <c r="C257" s="122" t="s">
        <v>74</v>
      </c>
      <c r="D257" s="122" t="s">
        <v>75</v>
      </c>
      <c r="E257" s="185"/>
      <c r="F257" s="185"/>
      <c r="G257" s="494"/>
      <c r="H257" s="497"/>
      <c r="I257" s="189"/>
      <c r="J257" s="189"/>
      <c r="K257" s="463"/>
      <c r="L257" s="501"/>
      <c r="M257" s="459"/>
      <c r="N257" s="125">
        <f t="shared" si="150"/>
        <v>30508103.160714284</v>
      </c>
      <c r="O257" s="125">
        <f t="shared" si="150"/>
        <v>34169075.539999999</v>
      </c>
      <c r="P257" s="125">
        <f t="shared" si="151"/>
        <v>30508103.160714284</v>
      </c>
      <c r="Q257" s="125">
        <f>Q256</f>
        <v>34169075.539999999</v>
      </c>
      <c r="R257" s="454"/>
      <c r="S257" s="448"/>
      <c r="T257" s="124"/>
      <c r="U257" s="124"/>
      <c r="V257" s="124"/>
      <c r="W257" s="124"/>
      <c r="X257" s="123">
        <f t="shared" si="152"/>
        <v>0</v>
      </c>
      <c r="Y257" s="124"/>
      <c r="Z257" s="124">
        <f t="shared" si="153"/>
        <v>0</v>
      </c>
      <c r="AA257" s="124">
        <f t="shared" si="153"/>
        <v>0</v>
      </c>
      <c r="AB257" s="124"/>
      <c r="AC257" s="124"/>
      <c r="AD257" s="124"/>
      <c r="AE257" s="124"/>
      <c r="AF257" s="124">
        <f>16191.18359/1.12+16983.88044/1.12</f>
        <v>29620.59288392857</v>
      </c>
      <c r="AG257" s="123">
        <f t="shared" si="154"/>
        <v>33175.064030000001</v>
      </c>
      <c r="AH257" s="124"/>
      <c r="AI257" s="123"/>
      <c r="AJ257" s="123">
        <f>AI257*1.12</f>
        <v>0</v>
      </c>
      <c r="AK257" s="123"/>
      <c r="AL257" s="126" t="str">
        <f t="shared" si="124"/>
        <v/>
      </c>
      <c r="AM257" s="127">
        <f>AF257</f>
        <v>29620.59288392857</v>
      </c>
      <c r="AN257" s="127"/>
      <c r="AO257" s="127"/>
      <c r="AP257" s="123">
        <f>AF257</f>
        <v>29620.59288392857</v>
      </c>
      <c r="AQ257" s="123">
        <f t="shared" si="155"/>
        <v>33175.064030000001</v>
      </c>
      <c r="AR257" s="123"/>
      <c r="AS257" s="123"/>
      <c r="AT257" s="123"/>
      <c r="AU257" s="123"/>
      <c r="AV257" s="123"/>
      <c r="AW257" s="123"/>
      <c r="AX257" s="123"/>
      <c r="AY257" s="123"/>
      <c r="AZ257" s="123"/>
      <c r="BA257" s="123"/>
      <c r="BB257" s="123"/>
      <c r="BC257" s="123"/>
      <c r="BD257" s="123"/>
      <c r="BE257" s="123"/>
      <c r="BF257" s="123"/>
      <c r="BG257" s="106"/>
      <c r="BH257" s="106"/>
      <c r="BI257" s="106"/>
      <c r="BJ257" s="106"/>
      <c r="BK257" s="106"/>
      <c r="BL257" s="106"/>
      <c r="BM257" s="106"/>
      <c r="BN257" s="106"/>
      <c r="BQ257" s="29"/>
      <c r="BR257" s="107"/>
      <c r="BS257" s="106"/>
    </row>
    <row r="258" spans="1:71" x14ac:dyDescent="0.35">
      <c r="A258" s="499"/>
      <c r="B258" s="470"/>
      <c r="C258" s="129" t="s">
        <v>74</v>
      </c>
      <c r="D258" s="129" t="s">
        <v>76</v>
      </c>
      <c r="E258" s="187"/>
      <c r="F258" s="187"/>
      <c r="G258" s="494"/>
      <c r="H258" s="497"/>
      <c r="I258" s="191"/>
      <c r="J258" s="191"/>
      <c r="K258" s="463"/>
      <c r="L258" s="501"/>
      <c r="M258" s="459"/>
      <c r="N258" s="132">
        <f t="shared" si="150"/>
        <v>30508103.160714284</v>
      </c>
      <c r="O258" s="132">
        <f t="shared" si="150"/>
        <v>34169075.539999999</v>
      </c>
      <c r="P258" s="132">
        <f t="shared" si="151"/>
        <v>30508103.160714284</v>
      </c>
      <c r="Q258" s="132">
        <f>Q257</f>
        <v>34169075.539999999</v>
      </c>
      <c r="R258" s="454"/>
      <c r="S258" s="448"/>
      <c r="T258" s="131"/>
      <c r="U258" s="131"/>
      <c r="V258" s="131"/>
      <c r="W258" s="131">
        <f>W257</f>
        <v>0</v>
      </c>
      <c r="X258" s="130">
        <f t="shared" si="152"/>
        <v>0</v>
      </c>
      <c r="Y258" s="131"/>
      <c r="Z258" s="131">
        <f t="shared" si="153"/>
        <v>0</v>
      </c>
      <c r="AA258" s="131">
        <f t="shared" si="153"/>
        <v>0</v>
      </c>
      <c r="AB258" s="131"/>
      <c r="AC258" s="131"/>
      <c r="AD258" s="131"/>
      <c r="AE258" s="131"/>
      <c r="AF258" s="131">
        <f>AF257</f>
        <v>29620.59288392857</v>
      </c>
      <c r="AG258" s="130">
        <f t="shared" si="154"/>
        <v>33175.064030000001</v>
      </c>
      <c r="AH258" s="131"/>
      <c r="AI258" s="130">
        <f>AI257</f>
        <v>0</v>
      </c>
      <c r="AJ258" s="130">
        <f>AJ257</f>
        <v>0</v>
      </c>
      <c r="AK258" s="130"/>
      <c r="AL258" s="133" t="str">
        <f t="shared" si="124"/>
        <v/>
      </c>
      <c r="AM258" s="134">
        <f>AF258</f>
        <v>29620.59288392857</v>
      </c>
      <c r="AN258" s="134"/>
      <c r="AO258" s="134"/>
      <c r="AP258" s="130">
        <f>AF258</f>
        <v>29620.59288392857</v>
      </c>
      <c r="AQ258" s="130">
        <f t="shared" si="155"/>
        <v>33175.064030000001</v>
      </c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31"/>
      <c r="BH258" s="31"/>
      <c r="BI258" s="31"/>
      <c r="BJ258" s="31"/>
      <c r="BK258" s="31"/>
      <c r="BL258" s="31"/>
      <c r="BM258" s="31"/>
      <c r="BN258" s="31"/>
      <c r="BQ258" s="27"/>
      <c r="BR258" s="28"/>
      <c r="BS258" s="31"/>
    </row>
    <row r="259" spans="1:71" s="227" customFormat="1" x14ac:dyDescent="0.35">
      <c r="A259" s="499"/>
      <c r="B259" s="470"/>
      <c r="C259" s="217" t="s">
        <v>72</v>
      </c>
      <c r="D259" s="217" t="s">
        <v>73</v>
      </c>
      <c r="E259" s="218"/>
      <c r="F259" s="218"/>
      <c r="G259" s="494"/>
      <c r="H259" s="497"/>
      <c r="I259" s="219"/>
      <c r="J259" s="219"/>
      <c r="K259" s="463" t="s">
        <v>158</v>
      </c>
      <c r="L259" s="454" t="s">
        <v>159</v>
      </c>
      <c r="M259" s="459" t="s">
        <v>113</v>
      </c>
      <c r="N259" s="220">
        <f t="shared" si="150"/>
        <v>50846838.598214276</v>
      </c>
      <c r="O259" s="220">
        <f t="shared" si="150"/>
        <v>56948459.229999997</v>
      </c>
      <c r="P259" s="220">
        <f t="shared" si="151"/>
        <v>50846838.598214276</v>
      </c>
      <c r="Q259" s="220">
        <v>56948459.229999997</v>
      </c>
      <c r="R259" s="454" t="s">
        <v>125</v>
      </c>
      <c r="S259" s="448">
        <v>25</v>
      </c>
      <c r="T259" s="221"/>
      <c r="U259" s="221"/>
      <c r="V259" s="221"/>
      <c r="W259" s="221">
        <v>37371</v>
      </c>
      <c r="X259" s="222">
        <f t="shared" si="152"/>
        <v>41855.520000000004</v>
      </c>
      <c r="Y259" s="221">
        <f>6+19</f>
        <v>25</v>
      </c>
      <c r="Z259" s="221">
        <f t="shared" si="153"/>
        <v>37371</v>
      </c>
      <c r="AA259" s="221">
        <f t="shared" si="153"/>
        <v>41855.520000000004</v>
      </c>
      <c r="AB259" s="221">
        <f t="shared" si="153"/>
        <v>25</v>
      </c>
      <c r="AC259" s="221"/>
      <c r="AD259" s="221"/>
      <c r="AE259" s="221"/>
      <c r="AF259" s="221"/>
      <c r="AG259" s="222">
        <f t="shared" si="154"/>
        <v>0</v>
      </c>
      <c r="AH259" s="221"/>
      <c r="AI259" s="222"/>
      <c r="AJ259" s="222">
        <f>AI259*1.12</f>
        <v>0</v>
      </c>
      <c r="AK259" s="218">
        <f>AH259-AE259</f>
        <v>0</v>
      </c>
      <c r="AL259" s="223" t="str">
        <f t="shared" si="124"/>
        <v/>
      </c>
      <c r="AM259" s="224"/>
      <c r="AN259" s="224"/>
      <c r="AO259" s="224"/>
      <c r="AP259" s="222"/>
      <c r="AQ259" s="222">
        <f t="shared" si="155"/>
        <v>0</v>
      </c>
      <c r="AR259" s="222"/>
      <c r="AS259" s="222"/>
      <c r="AT259" s="222"/>
      <c r="AU259" s="222"/>
      <c r="AV259" s="222"/>
      <c r="AW259" s="222"/>
      <c r="AX259" s="222"/>
      <c r="AY259" s="222"/>
      <c r="AZ259" s="225"/>
      <c r="BA259" s="222"/>
      <c r="BB259" s="222"/>
      <c r="BC259" s="222"/>
      <c r="BD259" s="222"/>
      <c r="BE259" s="222"/>
      <c r="BF259" s="222"/>
      <c r="BG259" s="226"/>
      <c r="BH259" s="226"/>
      <c r="BI259" s="226"/>
      <c r="BJ259" s="226"/>
      <c r="BK259" s="226"/>
      <c r="BL259" s="226"/>
      <c r="BM259" s="226"/>
      <c r="BN259" s="226"/>
      <c r="BQ259" s="228"/>
      <c r="BR259" s="229"/>
      <c r="BS259" s="226"/>
    </row>
    <row r="260" spans="1:71" s="103" customFormat="1" x14ac:dyDescent="0.35">
      <c r="A260" s="499"/>
      <c r="B260" s="470"/>
      <c r="C260" s="122" t="s">
        <v>74</v>
      </c>
      <c r="D260" s="122" t="s">
        <v>75</v>
      </c>
      <c r="E260" s="185"/>
      <c r="F260" s="185"/>
      <c r="G260" s="494"/>
      <c r="H260" s="497"/>
      <c r="I260" s="189"/>
      <c r="J260" s="189"/>
      <c r="K260" s="463"/>
      <c r="L260" s="454"/>
      <c r="M260" s="459"/>
      <c r="N260" s="125">
        <f t="shared" si="150"/>
        <v>50846838.598214276</v>
      </c>
      <c r="O260" s="125">
        <f t="shared" si="150"/>
        <v>56948459.229999997</v>
      </c>
      <c r="P260" s="125">
        <f t="shared" si="151"/>
        <v>50846838.598214276</v>
      </c>
      <c r="Q260" s="125">
        <f>Q259</f>
        <v>56948459.229999997</v>
      </c>
      <c r="R260" s="454"/>
      <c r="S260" s="448"/>
      <c r="T260" s="124"/>
      <c r="U260" s="124"/>
      <c r="V260" s="124"/>
      <c r="W260" s="124"/>
      <c r="X260" s="123">
        <f t="shared" si="152"/>
        <v>0</v>
      </c>
      <c r="Y260" s="124"/>
      <c r="Z260" s="124">
        <f t="shared" si="153"/>
        <v>0</v>
      </c>
      <c r="AA260" s="124">
        <f t="shared" si="153"/>
        <v>0</v>
      </c>
      <c r="AB260" s="124"/>
      <c r="AC260" s="124"/>
      <c r="AD260" s="124"/>
      <c r="AE260" s="124"/>
      <c r="AF260" s="124">
        <f>6102.2976/1.12</f>
        <v>5448.48</v>
      </c>
      <c r="AG260" s="123">
        <f t="shared" si="154"/>
        <v>6102.2975999999999</v>
      </c>
      <c r="AH260" s="124"/>
      <c r="AI260" s="123"/>
      <c r="AJ260" s="123">
        <f>AI260*1.12</f>
        <v>0</v>
      </c>
      <c r="AK260" s="123"/>
      <c r="AL260" s="126" t="str">
        <f t="shared" si="124"/>
        <v/>
      </c>
      <c r="AM260" s="127">
        <f>AF260</f>
        <v>5448.48</v>
      </c>
      <c r="AN260" s="127"/>
      <c r="AO260" s="127"/>
      <c r="AP260" s="123">
        <f>AF260</f>
        <v>5448.48</v>
      </c>
      <c r="AQ260" s="123">
        <f t="shared" si="155"/>
        <v>6102.2975999999999</v>
      </c>
      <c r="AR260" s="123"/>
      <c r="AS260" s="123"/>
      <c r="AT260" s="123"/>
      <c r="AU260" s="123"/>
      <c r="AV260" s="123"/>
      <c r="AW260" s="123"/>
      <c r="AX260" s="123"/>
      <c r="AY260" s="123"/>
      <c r="AZ260" s="123"/>
      <c r="BA260" s="123"/>
      <c r="BB260" s="123"/>
      <c r="BC260" s="123"/>
      <c r="BD260" s="123"/>
      <c r="BE260" s="123"/>
      <c r="BF260" s="123"/>
      <c r="BG260" s="106"/>
      <c r="BH260" s="106"/>
      <c r="BI260" s="106"/>
      <c r="BJ260" s="106"/>
      <c r="BK260" s="106"/>
      <c r="BL260" s="106"/>
      <c r="BM260" s="106"/>
      <c r="BN260" s="106"/>
      <c r="BQ260" s="29"/>
      <c r="BR260" s="107"/>
      <c r="BS260" s="106"/>
    </row>
    <row r="261" spans="1:71" x14ac:dyDescent="0.35">
      <c r="A261" s="439"/>
      <c r="B261" s="437"/>
      <c r="C261" s="129" t="s">
        <v>74</v>
      </c>
      <c r="D261" s="129" t="s">
        <v>76</v>
      </c>
      <c r="E261" s="187"/>
      <c r="F261" s="187"/>
      <c r="G261" s="495"/>
      <c r="H261" s="498"/>
      <c r="I261" s="191"/>
      <c r="J261" s="191"/>
      <c r="K261" s="463"/>
      <c r="L261" s="454"/>
      <c r="M261" s="459"/>
      <c r="N261" s="132">
        <f t="shared" si="150"/>
        <v>50846838.598214276</v>
      </c>
      <c r="O261" s="132">
        <f t="shared" si="150"/>
        <v>56948459.229999997</v>
      </c>
      <c r="P261" s="132">
        <f t="shared" si="151"/>
        <v>50846838.598214276</v>
      </c>
      <c r="Q261" s="132">
        <f>Q260</f>
        <v>56948459.229999997</v>
      </c>
      <c r="R261" s="454"/>
      <c r="S261" s="448"/>
      <c r="T261" s="131"/>
      <c r="U261" s="131"/>
      <c r="V261" s="131"/>
      <c r="W261" s="131">
        <f>W260</f>
        <v>0</v>
      </c>
      <c r="X261" s="130">
        <f t="shared" si="152"/>
        <v>0</v>
      </c>
      <c r="Y261" s="131"/>
      <c r="Z261" s="131">
        <f t="shared" si="153"/>
        <v>0</v>
      </c>
      <c r="AA261" s="131">
        <f t="shared" si="153"/>
        <v>0</v>
      </c>
      <c r="AB261" s="131"/>
      <c r="AC261" s="131"/>
      <c r="AD261" s="131"/>
      <c r="AE261" s="131"/>
      <c r="AF261" s="131">
        <f>AF260</f>
        <v>5448.48</v>
      </c>
      <c r="AG261" s="130">
        <f t="shared" si="154"/>
        <v>6102.2975999999999</v>
      </c>
      <c r="AH261" s="131"/>
      <c r="AI261" s="130">
        <f>AI260</f>
        <v>0</v>
      </c>
      <c r="AJ261" s="130">
        <f>AJ260</f>
        <v>0</v>
      </c>
      <c r="AK261" s="130"/>
      <c r="AL261" s="133" t="str">
        <f t="shared" si="124"/>
        <v/>
      </c>
      <c r="AM261" s="134">
        <f>AF261</f>
        <v>5448.48</v>
      </c>
      <c r="AN261" s="134"/>
      <c r="AO261" s="134"/>
      <c r="AP261" s="130">
        <f>AF261</f>
        <v>5448.48</v>
      </c>
      <c r="AQ261" s="130">
        <f t="shared" si="155"/>
        <v>6102.2975999999999</v>
      </c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31"/>
      <c r="BH261" s="31"/>
      <c r="BI261" s="31"/>
      <c r="BJ261" s="31"/>
      <c r="BK261" s="31"/>
      <c r="BL261" s="31"/>
      <c r="BM261" s="31"/>
      <c r="BN261" s="31"/>
      <c r="BQ261" s="27"/>
      <c r="BR261" s="28"/>
      <c r="BS261" s="31"/>
    </row>
    <row r="262" spans="1:71" s="212" customFormat="1" x14ac:dyDescent="0.35">
      <c r="A262" s="438"/>
      <c r="B262" s="436" t="s">
        <v>160</v>
      </c>
      <c r="C262" s="202"/>
      <c r="D262" s="202"/>
      <c r="E262" s="203">
        <f>E264+E267+E282</f>
        <v>397096</v>
      </c>
      <c r="F262" s="203">
        <f>F264+F267+F282</f>
        <v>444747.52000000002</v>
      </c>
      <c r="G262" s="204"/>
      <c r="H262" s="203">
        <f>H264+H267+H282</f>
        <v>0</v>
      </c>
      <c r="I262" s="203">
        <f>I264+I267+I282</f>
        <v>0</v>
      </c>
      <c r="J262" s="203">
        <f>J264+J267+J282</f>
        <v>0</v>
      </c>
      <c r="K262" s="486" t="s">
        <v>161</v>
      </c>
      <c r="L262" s="487"/>
      <c r="M262" s="500" t="s">
        <v>113</v>
      </c>
      <c r="N262" s="205">
        <f t="shared" ref="N262:Q263" si="156">N264+N267+N282+N270+N273+N276+N279</f>
        <v>298337222.89285707</v>
      </c>
      <c r="O262" s="205">
        <f t="shared" si="156"/>
        <v>334137689.63999999</v>
      </c>
      <c r="P262" s="205">
        <f t="shared" si="156"/>
        <v>298337222.89285707</v>
      </c>
      <c r="Q262" s="205">
        <f t="shared" si="156"/>
        <v>334137689.63999999</v>
      </c>
      <c r="R262" s="206"/>
      <c r="S262" s="492">
        <f t="shared" ref="S262:AK262" si="157">S264+S267+S282+S270+S273+S276+S279</f>
        <v>150</v>
      </c>
      <c r="T262" s="203">
        <f t="shared" si="157"/>
        <v>0</v>
      </c>
      <c r="U262" s="203">
        <f t="shared" si="157"/>
        <v>0</v>
      </c>
      <c r="V262" s="203">
        <f t="shared" si="157"/>
        <v>0</v>
      </c>
      <c r="W262" s="203">
        <f t="shared" si="157"/>
        <v>402066</v>
      </c>
      <c r="X262" s="203">
        <f t="shared" si="157"/>
        <v>450313.92000000004</v>
      </c>
      <c r="Y262" s="203">
        <f t="shared" si="157"/>
        <v>150</v>
      </c>
      <c r="Z262" s="203">
        <f t="shared" si="157"/>
        <v>402066</v>
      </c>
      <c r="AA262" s="203">
        <f t="shared" si="157"/>
        <v>450313.92000000004</v>
      </c>
      <c r="AB262" s="203">
        <f t="shared" si="157"/>
        <v>150</v>
      </c>
      <c r="AC262" s="203">
        <f t="shared" si="157"/>
        <v>0</v>
      </c>
      <c r="AD262" s="203">
        <f t="shared" si="157"/>
        <v>0</v>
      </c>
      <c r="AE262" s="203">
        <f t="shared" si="157"/>
        <v>0</v>
      </c>
      <c r="AF262" s="203">
        <f t="shared" si="157"/>
        <v>0</v>
      </c>
      <c r="AG262" s="203">
        <f t="shared" si="157"/>
        <v>0</v>
      </c>
      <c r="AH262" s="203">
        <f t="shared" si="157"/>
        <v>0</v>
      </c>
      <c r="AI262" s="203">
        <f>AI264+AI267+AI282+AI270+AI273+AI276+AI279</f>
        <v>0</v>
      </c>
      <c r="AJ262" s="203">
        <f t="shared" si="157"/>
        <v>0</v>
      </c>
      <c r="AK262" s="203">
        <f t="shared" si="157"/>
        <v>0</v>
      </c>
      <c r="AL262" s="208" t="str">
        <f t="shared" si="124"/>
        <v/>
      </c>
      <c r="AM262" s="203">
        <f>AM264+AM267+AM282+AM270+AM273+AM276+AM279</f>
        <v>0</v>
      </c>
      <c r="AN262" s="203">
        <f t="shared" ref="AN262:BF263" si="158">AN264+AN267+AN282+AN270+AN273+AN276+AN279</f>
        <v>0</v>
      </c>
      <c r="AO262" s="203">
        <f t="shared" si="158"/>
        <v>0</v>
      </c>
      <c r="AP262" s="203">
        <f t="shared" si="158"/>
        <v>0</v>
      </c>
      <c r="AQ262" s="203">
        <f t="shared" si="158"/>
        <v>0</v>
      </c>
      <c r="AR262" s="203">
        <f t="shared" si="158"/>
        <v>0</v>
      </c>
      <c r="AS262" s="203">
        <f t="shared" si="158"/>
        <v>0</v>
      </c>
      <c r="AT262" s="203">
        <f t="shared" si="158"/>
        <v>0</v>
      </c>
      <c r="AU262" s="203">
        <f t="shared" si="158"/>
        <v>0</v>
      </c>
      <c r="AV262" s="203">
        <f t="shared" si="158"/>
        <v>0</v>
      </c>
      <c r="AW262" s="203">
        <f t="shared" si="158"/>
        <v>0</v>
      </c>
      <c r="AX262" s="203">
        <f t="shared" si="158"/>
        <v>0</v>
      </c>
      <c r="AY262" s="203">
        <f t="shared" si="158"/>
        <v>0</v>
      </c>
      <c r="AZ262" s="203">
        <f t="shared" si="158"/>
        <v>0</v>
      </c>
      <c r="BA262" s="203">
        <f t="shared" si="158"/>
        <v>0</v>
      </c>
      <c r="BB262" s="203">
        <f t="shared" si="158"/>
        <v>0</v>
      </c>
      <c r="BC262" s="203">
        <f t="shared" si="158"/>
        <v>0</v>
      </c>
      <c r="BD262" s="203">
        <f t="shared" si="158"/>
        <v>0</v>
      </c>
      <c r="BE262" s="203">
        <f t="shared" si="158"/>
        <v>0</v>
      </c>
      <c r="BF262" s="203">
        <f t="shared" si="158"/>
        <v>0</v>
      </c>
      <c r="BG262" s="209" t="s">
        <v>84</v>
      </c>
      <c r="BH262" s="210"/>
      <c r="BI262" s="207">
        <f>BI264+BI267+BI532+BI537+BI541</f>
        <v>0</v>
      </c>
      <c r="BJ262" s="207">
        <f>BJ264+BJ267+BJ532+BJ537+BJ541</f>
        <v>0</v>
      </c>
      <c r="BK262" s="207">
        <f>BK264+BK267+BK532+BK537+BK541</f>
        <v>0</v>
      </c>
      <c r="BL262" s="211"/>
      <c r="BM262" s="211"/>
      <c r="BN262" s="210"/>
      <c r="BQ262" s="213"/>
      <c r="BR262" s="214"/>
      <c r="BS262" s="210"/>
    </row>
    <row r="263" spans="1:71" s="212" customFormat="1" x14ac:dyDescent="0.35">
      <c r="A263" s="499"/>
      <c r="B263" s="470"/>
      <c r="C263" s="202"/>
      <c r="D263" s="202"/>
      <c r="E263" s="203">
        <f>E265+E268+E283</f>
        <v>397096</v>
      </c>
      <c r="F263" s="203">
        <f>F265+F268+F283</f>
        <v>444747.52000000002</v>
      </c>
      <c r="G263" s="204"/>
      <c r="H263" s="203"/>
      <c r="I263" s="203">
        <f>I265+I268+I283</f>
        <v>213426.78571428568</v>
      </c>
      <c r="J263" s="203">
        <f>J265+J268+J283</f>
        <v>239038</v>
      </c>
      <c r="K263" s="488"/>
      <c r="L263" s="489"/>
      <c r="M263" s="500"/>
      <c r="N263" s="205">
        <f t="shared" si="156"/>
        <v>298337222.89285707</v>
      </c>
      <c r="O263" s="205">
        <f t="shared" si="156"/>
        <v>334137689.63999999</v>
      </c>
      <c r="P263" s="205">
        <f t="shared" si="156"/>
        <v>298337222.89285707</v>
      </c>
      <c r="Q263" s="205">
        <f t="shared" si="156"/>
        <v>334137689.63999999</v>
      </c>
      <c r="R263" s="206"/>
      <c r="S263" s="492"/>
      <c r="T263" s="203">
        <f>T265+T268+T283+T271+T274+T277+T280</f>
        <v>0</v>
      </c>
      <c r="U263" s="203">
        <f>U265+U268+U283+U271+U274+U277+U280</f>
        <v>0</v>
      </c>
      <c r="V263" s="216"/>
      <c r="W263" s="203">
        <f>W265+W268+W283+W271+W274+W277+W280</f>
        <v>12139.887562499998</v>
      </c>
      <c r="X263" s="203">
        <f>X265+X268+X283+X271+X274+X277+X280</f>
        <v>13596.674069999999</v>
      </c>
      <c r="Y263" s="216"/>
      <c r="Z263" s="203">
        <f>Z265+Z268+Z283+Z271+Z274+Z277+Z280</f>
        <v>12139.887562499998</v>
      </c>
      <c r="AA263" s="203">
        <f>AA265+AA268+AA283+AA271+AA274+AA277+AA280</f>
        <v>13596.674069999999</v>
      </c>
      <c r="AB263" s="216"/>
      <c r="AC263" s="203">
        <f>AC265+AC268+AC283+AC271+AC274+AC277+AC280</f>
        <v>213426.78571428568</v>
      </c>
      <c r="AD263" s="203">
        <f>AD265+AD268+AD283+AD271+AD274+AD277+AD280</f>
        <v>239038</v>
      </c>
      <c r="AE263" s="216"/>
      <c r="AF263" s="203">
        <f>AF265+AF268+AF283+AF271+AF274+AF277+AF280</f>
        <v>194651.21735714286</v>
      </c>
      <c r="AG263" s="203">
        <f>AG265+AG268+AG283+AG271+AG274+AG277+AG280</f>
        <v>218009.36343999999</v>
      </c>
      <c r="AH263" s="216"/>
      <c r="AI263" s="203">
        <f>AI265+AI268+AI283+AI271+AI274+AI277+AI280</f>
        <v>-18775.568357142853</v>
      </c>
      <c r="AJ263" s="203">
        <f>AJ265+AJ268+AJ283+AJ271+AJ274+AJ277+AJ280</f>
        <v>-21028.636559999995</v>
      </c>
      <c r="AK263" s="216"/>
      <c r="AL263" s="208">
        <f t="shared" si="124"/>
        <v>0.91202806014106563</v>
      </c>
      <c r="AM263" s="203">
        <f>AM265+AM268+AM283+AM271+AM274+AM277+AM280</f>
        <v>194651.21735714286</v>
      </c>
      <c r="AN263" s="203">
        <f t="shared" si="158"/>
        <v>0</v>
      </c>
      <c r="AO263" s="203">
        <f t="shared" si="158"/>
        <v>0</v>
      </c>
      <c r="AP263" s="203">
        <f t="shared" si="158"/>
        <v>194651.21735714286</v>
      </c>
      <c r="AQ263" s="203">
        <f t="shared" si="158"/>
        <v>218009.36343999999</v>
      </c>
      <c r="AR263" s="203">
        <f t="shared" si="158"/>
        <v>0</v>
      </c>
      <c r="AS263" s="203">
        <f t="shared" si="158"/>
        <v>0</v>
      </c>
      <c r="AT263" s="203">
        <f t="shared" si="158"/>
        <v>0</v>
      </c>
      <c r="AU263" s="203">
        <f t="shared" si="158"/>
        <v>0</v>
      </c>
      <c r="AV263" s="203">
        <f t="shared" si="158"/>
        <v>0</v>
      </c>
      <c r="AW263" s="203">
        <f t="shared" si="158"/>
        <v>0</v>
      </c>
      <c r="AX263" s="203">
        <f t="shared" si="158"/>
        <v>0</v>
      </c>
      <c r="AY263" s="203">
        <f t="shared" si="158"/>
        <v>0</v>
      </c>
      <c r="AZ263" s="203">
        <f t="shared" si="158"/>
        <v>0</v>
      </c>
      <c r="BA263" s="203">
        <f t="shared" si="158"/>
        <v>0</v>
      </c>
      <c r="BB263" s="203">
        <f t="shared" si="158"/>
        <v>0</v>
      </c>
      <c r="BC263" s="203">
        <f t="shared" si="158"/>
        <v>0</v>
      </c>
      <c r="BD263" s="203">
        <f t="shared" si="158"/>
        <v>0</v>
      </c>
      <c r="BE263" s="203">
        <f t="shared" si="158"/>
        <v>0</v>
      </c>
      <c r="BF263" s="203">
        <f t="shared" si="158"/>
        <v>0</v>
      </c>
      <c r="BG263" s="210"/>
      <c r="BH263" s="210"/>
      <c r="BI263" s="207">
        <f>BI265+BI268+BI526+BI529+BI532+BI535</f>
        <v>0</v>
      </c>
      <c r="BJ263" s="207">
        <f>BJ265+BJ268+BJ526+BJ529+BJ532+BJ535</f>
        <v>0</v>
      </c>
      <c r="BK263" s="207">
        <f>BK265+BK268+BK526+BK529+BK532+BK535</f>
        <v>0</v>
      </c>
      <c r="BL263" s="211"/>
      <c r="BM263" s="211"/>
      <c r="BN263" s="210"/>
      <c r="BQ263" s="213"/>
      <c r="BR263" s="214"/>
      <c r="BS263" s="210"/>
    </row>
    <row r="264" spans="1:71" s="227" customFormat="1" x14ac:dyDescent="0.35">
      <c r="A264" s="499"/>
      <c r="B264" s="470"/>
      <c r="C264" s="217" t="s">
        <v>72</v>
      </c>
      <c r="D264" s="217" t="s">
        <v>73</v>
      </c>
      <c r="E264" s="218">
        <v>397096</v>
      </c>
      <c r="F264" s="218">
        <f>E264*1.12</f>
        <v>444747.52000000002</v>
      </c>
      <c r="G264" s="493">
        <v>1919</v>
      </c>
      <c r="H264" s="496"/>
      <c r="I264" s="219"/>
      <c r="J264" s="219">
        <f>I264*1.12</f>
        <v>0</v>
      </c>
      <c r="K264" s="463" t="s">
        <v>129</v>
      </c>
      <c r="L264" s="501" t="s">
        <v>155</v>
      </c>
      <c r="M264" s="459" t="s">
        <v>113</v>
      </c>
      <c r="N264" s="220">
        <f t="shared" ref="N264:O284" si="159">P264</f>
        <v>99445740.642857149</v>
      </c>
      <c r="O264" s="220">
        <f t="shared" si="159"/>
        <v>111379229.52000001</v>
      </c>
      <c r="P264" s="220">
        <f t="shared" ref="P264:P284" si="160">Q264/1.12</f>
        <v>99445740.642857149</v>
      </c>
      <c r="Q264" s="220">
        <f>(33413768.75+44551692.02+33413768.75)</f>
        <v>111379229.52000001</v>
      </c>
      <c r="R264" s="454" t="s">
        <v>125</v>
      </c>
      <c r="S264" s="448">
        <v>50</v>
      </c>
      <c r="T264" s="221"/>
      <c r="U264" s="221"/>
      <c r="V264" s="221"/>
      <c r="W264" s="221">
        <v>166062</v>
      </c>
      <c r="X264" s="222">
        <f t="shared" ref="X264:X284" si="161">W264*1.12</f>
        <v>185989.44000000003</v>
      </c>
      <c r="Y264" s="221">
        <f>11+26+13</f>
        <v>50</v>
      </c>
      <c r="Z264" s="221">
        <f t="shared" ref="Z264:AB284" si="162">T264+W264</f>
        <v>166062</v>
      </c>
      <c r="AA264" s="221">
        <f t="shared" si="162"/>
        <v>185989.44000000003</v>
      </c>
      <c r="AB264" s="221">
        <f t="shared" si="162"/>
        <v>50</v>
      </c>
      <c r="AC264" s="221"/>
      <c r="AD264" s="221">
        <f>AC264*1.12</f>
        <v>0</v>
      </c>
      <c r="AE264" s="221"/>
      <c r="AF264" s="221"/>
      <c r="AG264" s="222">
        <f t="shared" ref="AG264:AG284" si="163">AF264*1.12</f>
        <v>0</v>
      </c>
      <c r="AH264" s="221"/>
      <c r="AI264" s="222"/>
      <c r="AJ264" s="222">
        <f>AI264*1.12</f>
        <v>0</v>
      </c>
      <c r="AK264" s="218">
        <f>AH264-AE264</f>
        <v>0</v>
      </c>
      <c r="AL264" s="223" t="str">
        <f t="shared" si="124"/>
        <v/>
      </c>
      <c r="AM264" s="224"/>
      <c r="AN264" s="224"/>
      <c r="AO264" s="224"/>
      <c r="AP264" s="222"/>
      <c r="AQ264" s="222">
        <f t="shared" ref="AQ264:AQ284" si="164">AP264*1.12</f>
        <v>0</v>
      </c>
      <c r="AR264" s="222"/>
      <c r="AS264" s="225"/>
      <c r="AT264" s="222"/>
      <c r="AU264" s="222"/>
      <c r="AV264" s="222"/>
      <c r="AW264" s="222"/>
      <c r="AX264" s="222"/>
      <c r="AY264" s="222"/>
      <c r="AZ264" s="218"/>
      <c r="BA264" s="222"/>
      <c r="BB264" s="222"/>
      <c r="BC264" s="222"/>
      <c r="BD264" s="222"/>
      <c r="BE264" s="222"/>
      <c r="BF264" s="225"/>
      <c r="BG264" s="226"/>
      <c r="BH264" s="226"/>
      <c r="BI264" s="226"/>
      <c r="BJ264" s="226"/>
      <c r="BK264" s="226"/>
      <c r="BL264" s="226"/>
      <c r="BM264" s="226"/>
      <c r="BN264" s="226"/>
      <c r="BQ264" s="228"/>
      <c r="BR264" s="229"/>
      <c r="BS264" s="226"/>
    </row>
    <row r="265" spans="1:71" s="103" customFormat="1" x14ac:dyDescent="0.35">
      <c r="A265" s="499"/>
      <c r="B265" s="470"/>
      <c r="C265" s="122" t="s">
        <v>74</v>
      </c>
      <c r="D265" s="122" t="s">
        <v>75</v>
      </c>
      <c r="E265" s="185">
        <f>E264</f>
        <v>397096</v>
      </c>
      <c r="F265" s="185">
        <f>E265*1.12</f>
        <v>444747.52000000002</v>
      </c>
      <c r="G265" s="494"/>
      <c r="H265" s="497"/>
      <c r="I265" s="189">
        <v>213426.78571428568</v>
      </c>
      <c r="J265" s="189">
        <f>I265*1.12</f>
        <v>239038</v>
      </c>
      <c r="K265" s="463"/>
      <c r="L265" s="501"/>
      <c r="M265" s="459"/>
      <c r="N265" s="125">
        <f t="shared" si="159"/>
        <v>99445740.642857149</v>
      </c>
      <c r="O265" s="125">
        <f t="shared" si="159"/>
        <v>111379229.52000001</v>
      </c>
      <c r="P265" s="125">
        <f t="shared" si="160"/>
        <v>99445740.642857149</v>
      </c>
      <c r="Q265" s="125">
        <f>Q264</f>
        <v>111379229.52000001</v>
      </c>
      <c r="R265" s="454"/>
      <c r="S265" s="448"/>
      <c r="T265" s="124"/>
      <c r="U265" s="124"/>
      <c r="V265" s="124"/>
      <c r="W265" s="124">
        <f>13596.67407/1.12</f>
        <v>12139.887562499998</v>
      </c>
      <c r="X265" s="123">
        <f t="shared" si="161"/>
        <v>13596.674069999999</v>
      </c>
      <c r="Y265" s="124"/>
      <c r="Z265" s="124">
        <f t="shared" si="162"/>
        <v>12139.887562499998</v>
      </c>
      <c r="AA265" s="124">
        <f t="shared" si="162"/>
        <v>13596.674069999999</v>
      </c>
      <c r="AB265" s="124"/>
      <c r="AC265" s="124">
        <v>213426.78571428568</v>
      </c>
      <c r="AD265" s="124">
        <f>AC265*1.12</f>
        <v>239038</v>
      </c>
      <c r="AE265" s="124"/>
      <c r="AF265" s="124">
        <f>30493.81082/1.12+24680.14815/1.12</f>
        <v>49262.463366071424</v>
      </c>
      <c r="AG265" s="123">
        <f t="shared" si="163"/>
        <v>55173.95897</v>
      </c>
      <c r="AH265" s="124"/>
      <c r="AI265" s="123">
        <f>AF265+AF268+AF271+AF274+AF277+AF280+AF283-AC265</f>
        <v>-18775.568357142853</v>
      </c>
      <c r="AJ265" s="123">
        <f>AI265*1.12</f>
        <v>-21028.636559999995</v>
      </c>
      <c r="AK265" s="123"/>
      <c r="AL265" s="126">
        <f t="shared" si="124"/>
        <v>0.23081668592441371</v>
      </c>
      <c r="AM265" s="127">
        <f>AF265</f>
        <v>49262.463366071424</v>
      </c>
      <c r="AN265" s="127"/>
      <c r="AO265" s="127"/>
      <c r="AP265" s="123">
        <f>AF265</f>
        <v>49262.463366071424</v>
      </c>
      <c r="AQ265" s="123">
        <f t="shared" si="164"/>
        <v>55173.95897</v>
      </c>
      <c r="AR265" s="123"/>
      <c r="AS265" s="123"/>
      <c r="AT265" s="123"/>
      <c r="AU265" s="123"/>
      <c r="AV265" s="123"/>
      <c r="AW265" s="123"/>
      <c r="AX265" s="123"/>
      <c r="AY265" s="123"/>
      <c r="AZ265" s="123"/>
      <c r="BA265" s="123"/>
      <c r="BB265" s="123"/>
      <c r="BC265" s="123"/>
      <c r="BD265" s="123"/>
      <c r="BE265" s="123"/>
      <c r="BF265" s="123"/>
      <c r="BG265" s="106"/>
      <c r="BH265" s="106"/>
      <c r="BI265" s="106"/>
      <c r="BJ265" s="106"/>
      <c r="BK265" s="106"/>
      <c r="BL265" s="106"/>
      <c r="BM265" s="106"/>
      <c r="BN265" s="106"/>
      <c r="BQ265" s="29"/>
      <c r="BR265" s="107"/>
      <c r="BS265" s="106"/>
    </row>
    <row r="266" spans="1:71" x14ac:dyDescent="0.35">
      <c r="A266" s="499"/>
      <c r="B266" s="470"/>
      <c r="C266" s="129" t="s">
        <v>74</v>
      </c>
      <c r="D266" s="129" t="s">
        <v>76</v>
      </c>
      <c r="E266" s="187">
        <f>E265</f>
        <v>397096</v>
      </c>
      <c r="F266" s="187">
        <f>F265</f>
        <v>444747.52000000002</v>
      </c>
      <c r="G266" s="494"/>
      <c r="H266" s="497"/>
      <c r="I266" s="191">
        <f>I265</f>
        <v>213426.78571428568</v>
      </c>
      <c r="J266" s="191">
        <f>J265</f>
        <v>239038</v>
      </c>
      <c r="K266" s="463"/>
      <c r="L266" s="501"/>
      <c r="M266" s="459"/>
      <c r="N266" s="132">
        <f t="shared" si="159"/>
        <v>99445740.642857149</v>
      </c>
      <c r="O266" s="132">
        <f t="shared" si="159"/>
        <v>111379229.52000001</v>
      </c>
      <c r="P266" s="132">
        <f t="shared" si="160"/>
        <v>99445740.642857149</v>
      </c>
      <c r="Q266" s="132">
        <f>Q265</f>
        <v>111379229.52000001</v>
      </c>
      <c r="R266" s="454"/>
      <c r="S266" s="448"/>
      <c r="T266" s="131"/>
      <c r="U266" s="131"/>
      <c r="V266" s="131"/>
      <c r="W266" s="131">
        <f>W265</f>
        <v>12139.887562499998</v>
      </c>
      <c r="X266" s="130">
        <f t="shared" si="161"/>
        <v>13596.674069999999</v>
      </c>
      <c r="Y266" s="131"/>
      <c r="Z266" s="131">
        <f t="shared" si="162"/>
        <v>12139.887562499998</v>
      </c>
      <c r="AA266" s="131">
        <f t="shared" si="162"/>
        <v>13596.674069999999</v>
      </c>
      <c r="AB266" s="131"/>
      <c r="AC266" s="131">
        <f>AC265</f>
        <v>213426.78571428568</v>
      </c>
      <c r="AD266" s="131">
        <f>AD265</f>
        <v>239038</v>
      </c>
      <c r="AE266" s="131"/>
      <c r="AF266" s="131">
        <f>AF265</f>
        <v>49262.463366071424</v>
      </c>
      <c r="AG266" s="130">
        <f t="shared" si="163"/>
        <v>55173.95897</v>
      </c>
      <c r="AH266" s="131"/>
      <c r="AI266" s="130">
        <f>AI265</f>
        <v>-18775.568357142853</v>
      </c>
      <c r="AJ266" s="130">
        <f>AJ265</f>
        <v>-21028.636559999995</v>
      </c>
      <c r="AK266" s="130"/>
      <c r="AL266" s="133">
        <f t="shared" si="124"/>
        <v>0.23081668592441371</v>
      </c>
      <c r="AM266" s="134">
        <f>AF266</f>
        <v>49262.463366071424</v>
      </c>
      <c r="AN266" s="134"/>
      <c r="AO266" s="134"/>
      <c r="AP266" s="130">
        <f>AF266</f>
        <v>49262.463366071424</v>
      </c>
      <c r="AQ266" s="130">
        <f t="shared" si="164"/>
        <v>55173.95897</v>
      </c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31"/>
      <c r="BH266" s="31"/>
      <c r="BI266" s="31"/>
      <c r="BJ266" s="31"/>
      <c r="BK266" s="31"/>
      <c r="BL266" s="31"/>
      <c r="BM266" s="31"/>
      <c r="BN266" s="31"/>
      <c r="BQ266" s="27"/>
      <c r="BR266" s="28"/>
      <c r="BS266" s="31"/>
    </row>
    <row r="267" spans="1:71" s="227" customFormat="1" x14ac:dyDescent="0.35">
      <c r="A267" s="499"/>
      <c r="B267" s="470"/>
      <c r="C267" s="217" t="s">
        <v>72</v>
      </c>
      <c r="D267" s="217" t="s">
        <v>73</v>
      </c>
      <c r="E267" s="218"/>
      <c r="F267" s="218"/>
      <c r="G267" s="494"/>
      <c r="H267" s="497"/>
      <c r="I267" s="219"/>
      <c r="J267" s="219"/>
      <c r="K267" s="463" t="s">
        <v>123</v>
      </c>
      <c r="L267" s="454" t="s">
        <v>124</v>
      </c>
      <c r="M267" s="459" t="s">
        <v>113</v>
      </c>
      <c r="N267" s="220">
        <f t="shared" si="159"/>
        <v>19889148.223214284</v>
      </c>
      <c r="O267" s="220">
        <f t="shared" si="159"/>
        <v>22275846.010000002</v>
      </c>
      <c r="P267" s="220">
        <f t="shared" si="160"/>
        <v>19889148.223214284</v>
      </c>
      <c r="Q267" s="220">
        <v>22275846.010000002</v>
      </c>
      <c r="R267" s="454" t="s">
        <v>125</v>
      </c>
      <c r="S267" s="448">
        <v>10</v>
      </c>
      <c r="T267" s="221"/>
      <c r="U267" s="221"/>
      <c r="V267" s="221"/>
      <c r="W267" s="221">
        <v>7963</v>
      </c>
      <c r="X267" s="222">
        <f t="shared" si="161"/>
        <v>8918.5600000000013</v>
      </c>
      <c r="Y267" s="221">
        <f>1+9</f>
        <v>10</v>
      </c>
      <c r="Z267" s="221">
        <f t="shared" si="162"/>
        <v>7963</v>
      </c>
      <c r="AA267" s="221">
        <f t="shared" si="162"/>
        <v>8918.5600000000013</v>
      </c>
      <c r="AB267" s="221">
        <f t="shared" si="162"/>
        <v>10</v>
      </c>
      <c r="AC267" s="221"/>
      <c r="AD267" s="221"/>
      <c r="AE267" s="221"/>
      <c r="AF267" s="221"/>
      <c r="AG267" s="222">
        <f t="shared" si="163"/>
        <v>0</v>
      </c>
      <c r="AH267" s="221"/>
      <c r="AI267" s="222"/>
      <c r="AJ267" s="222">
        <f>AI267*1.12</f>
        <v>0</v>
      </c>
      <c r="AK267" s="218">
        <f>AH267-AE267</f>
        <v>0</v>
      </c>
      <c r="AL267" s="223" t="str">
        <f t="shared" si="124"/>
        <v/>
      </c>
      <c r="AM267" s="224"/>
      <c r="AN267" s="224"/>
      <c r="AO267" s="224"/>
      <c r="AP267" s="222"/>
      <c r="AQ267" s="222">
        <f t="shared" si="164"/>
        <v>0</v>
      </c>
      <c r="AR267" s="222"/>
      <c r="AS267" s="222"/>
      <c r="AT267" s="222"/>
      <c r="AU267" s="222"/>
      <c r="AV267" s="222"/>
      <c r="AW267" s="222"/>
      <c r="AX267" s="222"/>
      <c r="AY267" s="222"/>
      <c r="AZ267" s="225"/>
      <c r="BA267" s="222"/>
      <c r="BB267" s="222"/>
      <c r="BC267" s="222"/>
      <c r="BD267" s="222"/>
      <c r="BE267" s="222"/>
      <c r="BF267" s="222"/>
      <c r="BG267" s="226"/>
      <c r="BH267" s="226"/>
      <c r="BI267" s="226"/>
      <c r="BJ267" s="226"/>
      <c r="BK267" s="226"/>
      <c r="BL267" s="226"/>
      <c r="BM267" s="226"/>
      <c r="BN267" s="226"/>
      <c r="BQ267" s="228"/>
      <c r="BR267" s="229"/>
      <c r="BS267" s="226"/>
    </row>
    <row r="268" spans="1:71" s="103" customFormat="1" x14ac:dyDescent="0.35">
      <c r="A268" s="499"/>
      <c r="B268" s="470"/>
      <c r="C268" s="122" t="s">
        <v>74</v>
      </c>
      <c r="D268" s="122" t="s">
        <v>75</v>
      </c>
      <c r="E268" s="185"/>
      <c r="F268" s="185"/>
      <c r="G268" s="494"/>
      <c r="H268" s="497"/>
      <c r="I268" s="189"/>
      <c r="J268" s="189"/>
      <c r="K268" s="463"/>
      <c r="L268" s="454"/>
      <c r="M268" s="459"/>
      <c r="N268" s="125">
        <f t="shared" si="159"/>
        <v>19889148.223214284</v>
      </c>
      <c r="O268" s="125">
        <f t="shared" si="159"/>
        <v>22275846.010000002</v>
      </c>
      <c r="P268" s="125">
        <f t="shared" si="160"/>
        <v>19889148.223214284</v>
      </c>
      <c r="Q268" s="125">
        <f>Q267</f>
        <v>22275846.010000002</v>
      </c>
      <c r="R268" s="454"/>
      <c r="S268" s="448"/>
      <c r="T268" s="124"/>
      <c r="U268" s="124"/>
      <c r="V268" s="124"/>
      <c r="W268" s="124"/>
      <c r="X268" s="123">
        <f t="shared" si="161"/>
        <v>0</v>
      </c>
      <c r="Y268" s="124"/>
      <c r="Z268" s="124">
        <f t="shared" si="162"/>
        <v>0</v>
      </c>
      <c r="AA268" s="124">
        <f t="shared" si="162"/>
        <v>0</v>
      </c>
      <c r="AB268" s="124"/>
      <c r="AC268" s="124"/>
      <c r="AD268" s="124"/>
      <c r="AE268" s="124"/>
      <c r="AF268" s="124">
        <f>1210.94709/1.12+418.99717/1.12+20747.63703/1.12</f>
        <v>19979.983294642858</v>
      </c>
      <c r="AG268" s="123">
        <f t="shared" si="163"/>
        <v>22377.581290000002</v>
      </c>
      <c r="AH268" s="124"/>
      <c r="AI268" s="123"/>
      <c r="AJ268" s="123">
        <f>AI268*1.12</f>
        <v>0</v>
      </c>
      <c r="AK268" s="123"/>
      <c r="AL268" s="126" t="str">
        <f t="shared" si="124"/>
        <v/>
      </c>
      <c r="AM268" s="127">
        <f>AF268</f>
        <v>19979.983294642858</v>
      </c>
      <c r="AN268" s="127"/>
      <c r="AO268" s="127"/>
      <c r="AP268" s="123">
        <f>AF268</f>
        <v>19979.983294642858</v>
      </c>
      <c r="AQ268" s="123">
        <f t="shared" si="164"/>
        <v>22377.581290000002</v>
      </c>
      <c r="AR268" s="123"/>
      <c r="AS268" s="123"/>
      <c r="AT268" s="123"/>
      <c r="AU268" s="123"/>
      <c r="AV268" s="123"/>
      <c r="AW268" s="123"/>
      <c r="AX268" s="123"/>
      <c r="AY268" s="123"/>
      <c r="AZ268" s="123"/>
      <c r="BA268" s="123"/>
      <c r="BB268" s="123"/>
      <c r="BC268" s="123"/>
      <c r="BD268" s="123"/>
      <c r="BE268" s="123"/>
      <c r="BF268" s="123"/>
      <c r="BG268" s="106"/>
      <c r="BH268" s="106"/>
      <c r="BI268" s="106"/>
      <c r="BJ268" s="106"/>
      <c r="BK268" s="106"/>
      <c r="BL268" s="106"/>
      <c r="BM268" s="106"/>
      <c r="BN268" s="106"/>
      <c r="BQ268" s="29"/>
      <c r="BR268" s="107"/>
      <c r="BS268" s="106"/>
    </row>
    <row r="269" spans="1:71" x14ac:dyDescent="0.35">
      <c r="A269" s="499"/>
      <c r="B269" s="470"/>
      <c r="C269" s="129" t="s">
        <v>74</v>
      </c>
      <c r="D269" s="129" t="s">
        <v>76</v>
      </c>
      <c r="E269" s="187"/>
      <c r="F269" s="187"/>
      <c r="G269" s="494"/>
      <c r="H269" s="497"/>
      <c r="I269" s="191"/>
      <c r="J269" s="191"/>
      <c r="K269" s="463"/>
      <c r="L269" s="454"/>
      <c r="M269" s="459"/>
      <c r="N269" s="132">
        <f t="shared" si="159"/>
        <v>19889148.223214284</v>
      </c>
      <c r="O269" s="132">
        <f t="shared" si="159"/>
        <v>22275846.010000002</v>
      </c>
      <c r="P269" s="132">
        <f t="shared" si="160"/>
        <v>19889148.223214284</v>
      </c>
      <c r="Q269" s="132">
        <f>Q268</f>
        <v>22275846.010000002</v>
      </c>
      <c r="R269" s="454"/>
      <c r="S269" s="448"/>
      <c r="T269" s="131"/>
      <c r="U269" s="131"/>
      <c r="V269" s="131"/>
      <c r="W269" s="131">
        <f>W268</f>
        <v>0</v>
      </c>
      <c r="X269" s="130">
        <f t="shared" si="161"/>
        <v>0</v>
      </c>
      <c r="Y269" s="131"/>
      <c r="Z269" s="131">
        <f t="shared" si="162"/>
        <v>0</v>
      </c>
      <c r="AA269" s="131">
        <f t="shared" si="162"/>
        <v>0</v>
      </c>
      <c r="AB269" s="131"/>
      <c r="AC269" s="131"/>
      <c r="AD269" s="131"/>
      <c r="AE269" s="131"/>
      <c r="AF269" s="131">
        <f>AF268</f>
        <v>19979.983294642858</v>
      </c>
      <c r="AG269" s="130">
        <f t="shared" si="163"/>
        <v>22377.581290000002</v>
      </c>
      <c r="AH269" s="131"/>
      <c r="AI269" s="130">
        <f>AI268</f>
        <v>0</v>
      </c>
      <c r="AJ269" s="130">
        <f>AJ268</f>
        <v>0</v>
      </c>
      <c r="AK269" s="130"/>
      <c r="AL269" s="133" t="str">
        <f t="shared" si="124"/>
        <v/>
      </c>
      <c r="AM269" s="134">
        <f>AF269</f>
        <v>19979.983294642858</v>
      </c>
      <c r="AN269" s="134"/>
      <c r="AO269" s="134"/>
      <c r="AP269" s="130">
        <f>AF269</f>
        <v>19979.983294642858</v>
      </c>
      <c r="AQ269" s="130">
        <f t="shared" si="164"/>
        <v>22377.581290000002</v>
      </c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30"/>
      <c r="BD269" s="130"/>
      <c r="BE269" s="130"/>
      <c r="BF269" s="130"/>
      <c r="BG269" s="31"/>
      <c r="BH269" s="31"/>
      <c r="BI269" s="31"/>
      <c r="BJ269" s="31"/>
      <c r="BK269" s="31"/>
      <c r="BL269" s="31"/>
      <c r="BM269" s="31"/>
      <c r="BN269" s="31"/>
      <c r="BQ269" s="27"/>
      <c r="BR269" s="28"/>
      <c r="BS269" s="31"/>
    </row>
    <row r="270" spans="1:71" s="227" customFormat="1" x14ac:dyDescent="0.35">
      <c r="A270" s="499"/>
      <c r="B270" s="470"/>
      <c r="C270" s="217" t="s">
        <v>72</v>
      </c>
      <c r="D270" s="217" t="s">
        <v>73</v>
      </c>
      <c r="E270" s="218"/>
      <c r="F270" s="218"/>
      <c r="G270" s="494"/>
      <c r="H270" s="497"/>
      <c r="I270" s="219"/>
      <c r="J270" s="219"/>
      <c r="K270" s="463" t="s">
        <v>131</v>
      </c>
      <c r="L270" s="501" t="s">
        <v>156</v>
      </c>
      <c r="M270" s="459" t="s">
        <v>113</v>
      </c>
      <c r="N270" s="220">
        <f t="shared" si="159"/>
        <v>9944574.1071428563</v>
      </c>
      <c r="O270" s="220">
        <f t="shared" si="159"/>
        <v>11137923</v>
      </c>
      <c r="P270" s="220">
        <f t="shared" si="160"/>
        <v>9944574.1071428563</v>
      </c>
      <c r="Q270" s="220">
        <v>11137923</v>
      </c>
      <c r="R270" s="454" t="s">
        <v>125</v>
      </c>
      <c r="S270" s="448">
        <v>5</v>
      </c>
      <c r="T270" s="221"/>
      <c r="U270" s="221"/>
      <c r="V270" s="221"/>
      <c r="W270" s="221">
        <f>15807+9113</f>
        <v>24920</v>
      </c>
      <c r="X270" s="222">
        <f t="shared" si="161"/>
        <v>27910.400000000001</v>
      </c>
      <c r="Y270" s="221">
        <f>5</f>
        <v>5</v>
      </c>
      <c r="Z270" s="221">
        <f t="shared" si="162"/>
        <v>24920</v>
      </c>
      <c r="AA270" s="221">
        <f t="shared" si="162"/>
        <v>27910.400000000001</v>
      </c>
      <c r="AB270" s="221">
        <f t="shared" si="162"/>
        <v>5</v>
      </c>
      <c r="AC270" s="221"/>
      <c r="AD270" s="221"/>
      <c r="AE270" s="221"/>
      <c r="AF270" s="221"/>
      <c r="AG270" s="222">
        <f t="shared" si="163"/>
        <v>0</v>
      </c>
      <c r="AH270" s="221"/>
      <c r="AI270" s="222"/>
      <c r="AJ270" s="222">
        <f>AI270*1.12</f>
        <v>0</v>
      </c>
      <c r="AK270" s="218">
        <f>AH270-AE270</f>
        <v>0</v>
      </c>
      <c r="AL270" s="223" t="str">
        <f t="shared" si="124"/>
        <v/>
      </c>
      <c r="AM270" s="224"/>
      <c r="AN270" s="224"/>
      <c r="AO270" s="224"/>
      <c r="AP270" s="222"/>
      <c r="AQ270" s="222">
        <f t="shared" si="164"/>
        <v>0</v>
      </c>
      <c r="AR270" s="222"/>
      <c r="AS270" s="222"/>
      <c r="AT270" s="222"/>
      <c r="AU270" s="222"/>
      <c r="AV270" s="222"/>
      <c r="AW270" s="222"/>
      <c r="AX270" s="222"/>
      <c r="AY270" s="222"/>
      <c r="AZ270" s="218"/>
      <c r="BA270" s="222"/>
      <c r="BB270" s="222"/>
      <c r="BC270" s="222"/>
      <c r="BD270" s="222"/>
      <c r="BE270" s="222"/>
      <c r="BF270" s="222"/>
      <c r="BG270" s="226"/>
      <c r="BH270" s="226"/>
      <c r="BI270" s="226"/>
      <c r="BJ270" s="226"/>
      <c r="BK270" s="226"/>
      <c r="BL270" s="226"/>
      <c r="BM270" s="226"/>
      <c r="BN270" s="226"/>
      <c r="BQ270" s="228"/>
      <c r="BR270" s="229"/>
      <c r="BS270" s="226"/>
    </row>
    <row r="271" spans="1:71" s="103" customFormat="1" x14ac:dyDescent="0.35">
      <c r="A271" s="499"/>
      <c r="B271" s="470"/>
      <c r="C271" s="122" t="s">
        <v>74</v>
      </c>
      <c r="D271" s="122" t="s">
        <v>75</v>
      </c>
      <c r="E271" s="185"/>
      <c r="F271" s="185"/>
      <c r="G271" s="494"/>
      <c r="H271" s="497"/>
      <c r="I271" s="189"/>
      <c r="J271" s="189"/>
      <c r="K271" s="463"/>
      <c r="L271" s="501"/>
      <c r="M271" s="459"/>
      <c r="N271" s="125">
        <f t="shared" si="159"/>
        <v>9944574.1071428563</v>
      </c>
      <c r="O271" s="125">
        <f t="shared" si="159"/>
        <v>11137923</v>
      </c>
      <c r="P271" s="125">
        <f t="shared" si="160"/>
        <v>9944574.1071428563</v>
      </c>
      <c r="Q271" s="125">
        <f>Q270</f>
        <v>11137923</v>
      </c>
      <c r="R271" s="454"/>
      <c r="S271" s="448"/>
      <c r="T271" s="124"/>
      <c r="U271" s="124"/>
      <c r="V271" s="124"/>
      <c r="W271" s="124"/>
      <c r="X271" s="123">
        <f t="shared" si="161"/>
        <v>0</v>
      </c>
      <c r="Y271" s="124"/>
      <c r="Z271" s="124">
        <f t="shared" si="162"/>
        <v>0</v>
      </c>
      <c r="AA271" s="124">
        <f t="shared" si="162"/>
        <v>0</v>
      </c>
      <c r="AB271" s="124"/>
      <c r="AC271" s="124"/>
      <c r="AD271" s="124"/>
      <c r="AE271" s="124"/>
      <c r="AF271" s="124">
        <f>7492.49181/1.12</f>
        <v>6689.7248303571423</v>
      </c>
      <c r="AG271" s="123">
        <f t="shared" si="163"/>
        <v>7492.4918100000004</v>
      </c>
      <c r="AH271" s="124"/>
      <c r="AI271" s="123"/>
      <c r="AJ271" s="123">
        <f>AI271*1.12</f>
        <v>0</v>
      </c>
      <c r="AK271" s="123"/>
      <c r="AL271" s="126" t="str">
        <f t="shared" si="124"/>
        <v/>
      </c>
      <c r="AM271" s="127">
        <f>AF271</f>
        <v>6689.7248303571423</v>
      </c>
      <c r="AN271" s="127"/>
      <c r="AO271" s="127"/>
      <c r="AP271" s="123">
        <f>AF271</f>
        <v>6689.7248303571423</v>
      </c>
      <c r="AQ271" s="123">
        <f t="shared" si="164"/>
        <v>7492.4918100000004</v>
      </c>
      <c r="AR271" s="123"/>
      <c r="AS271" s="123"/>
      <c r="AT271" s="123"/>
      <c r="AU271" s="123"/>
      <c r="AV271" s="123"/>
      <c r="AW271" s="123"/>
      <c r="AX271" s="123"/>
      <c r="AY271" s="123"/>
      <c r="AZ271" s="123"/>
      <c r="BA271" s="123"/>
      <c r="BB271" s="123"/>
      <c r="BC271" s="123"/>
      <c r="BD271" s="123"/>
      <c r="BE271" s="123"/>
      <c r="BF271" s="123"/>
      <c r="BG271" s="106"/>
      <c r="BH271" s="106"/>
      <c r="BI271" s="106"/>
      <c r="BJ271" s="106"/>
      <c r="BK271" s="106"/>
      <c r="BL271" s="106"/>
      <c r="BM271" s="106"/>
      <c r="BN271" s="106"/>
      <c r="BQ271" s="29"/>
      <c r="BR271" s="107"/>
      <c r="BS271" s="106"/>
    </row>
    <row r="272" spans="1:71" x14ac:dyDescent="0.35">
      <c r="A272" s="499"/>
      <c r="B272" s="470"/>
      <c r="C272" s="129" t="s">
        <v>74</v>
      </c>
      <c r="D272" s="129" t="s">
        <v>76</v>
      </c>
      <c r="E272" s="187"/>
      <c r="F272" s="187"/>
      <c r="G272" s="494"/>
      <c r="H272" s="497"/>
      <c r="I272" s="191"/>
      <c r="J272" s="191"/>
      <c r="K272" s="463"/>
      <c r="L272" s="501"/>
      <c r="M272" s="459"/>
      <c r="N272" s="132">
        <f t="shared" si="159"/>
        <v>9944574.1071428563</v>
      </c>
      <c r="O272" s="132">
        <f t="shared" si="159"/>
        <v>11137923</v>
      </c>
      <c r="P272" s="132">
        <f t="shared" si="160"/>
        <v>9944574.1071428563</v>
      </c>
      <c r="Q272" s="132">
        <f>Q271</f>
        <v>11137923</v>
      </c>
      <c r="R272" s="454"/>
      <c r="S272" s="448"/>
      <c r="T272" s="131"/>
      <c r="U272" s="131"/>
      <c r="V272" s="131"/>
      <c r="W272" s="131">
        <f>W271</f>
        <v>0</v>
      </c>
      <c r="X272" s="130">
        <f t="shared" si="161"/>
        <v>0</v>
      </c>
      <c r="Y272" s="131"/>
      <c r="Z272" s="131">
        <f t="shared" si="162"/>
        <v>0</v>
      </c>
      <c r="AA272" s="131">
        <f t="shared" si="162"/>
        <v>0</v>
      </c>
      <c r="AB272" s="131"/>
      <c r="AC272" s="131"/>
      <c r="AD272" s="131"/>
      <c r="AE272" s="131"/>
      <c r="AF272" s="131">
        <f>AF271</f>
        <v>6689.7248303571423</v>
      </c>
      <c r="AG272" s="130">
        <f t="shared" si="163"/>
        <v>7492.4918100000004</v>
      </c>
      <c r="AH272" s="131"/>
      <c r="AI272" s="130">
        <f>AI271</f>
        <v>0</v>
      </c>
      <c r="AJ272" s="130">
        <f>AJ271</f>
        <v>0</v>
      </c>
      <c r="AK272" s="130"/>
      <c r="AL272" s="133" t="str">
        <f t="shared" si="124"/>
        <v/>
      </c>
      <c r="AM272" s="134">
        <f>AF272</f>
        <v>6689.7248303571423</v>
      </c>
      <c r="AN272" s="134"/>
      <c r="AO272" s="134"/>
      <c r="AP272" s="130">
        <f>AF272</f>
        <v>6689.7248303571423</v>
      </c>
      <c r="AQ272" s="130">
        <f t="shared" si="164"/>
        <v>7492.4918100000004</v>
      </c>
      <c r="AR272" s="130"/>
      <c r="AS272" s="130"/>
      <c r="AT272" s="130"/>
      <c r="AU272" s="130"/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  <c r="BG272" s="31"/>
      <c r="BH272" s="31"/>
      <c r="BI272" s="31"/>
      <c r="BJ272" s="31"/>
      <c r="BK272" s="31"/>
      <c r="BL272" s="31"/>
      <c r="BM272" s="31"/>
      <c r="BN272" s="31"/>
      <c r="BQ272" s="27"/>
      <c r="BR272" s="28"/>
      <c r="BS272" s="31"/>
    </row>
    <row r="273" spans="1:71" s="227" customFormat="1" x14ac:dyDescent="0.35">
      <c r="A273" s="499"/>
      <c r="B273" s="470"/>
      <c r="C273" s="217" t="s">
        <v>72</v>
      </c>
      <c r="D273" s="217" t="s">
        <v>73</v>
      </c>
      <c r="E273" s="218"/>
      <c r="F273" s="218"/>
      <c r="G273" s="494"/>
      <c r="H273" s="497"/>
      <c r="I273" s="219"/>
      <c r="J273" s="219"/>
      <c r="K273" s="463" t="s">
        <v>149</v>
      </c>
      <c r="L273" s="501" t="s">
        <v>162</v>
      </c>
      <c r="M273" s="459" t="s">
        <v>113</v>
      </c>
      <c r="N273" s="220">
        <f t="shared" si="159"/>
        <v>19889148.232142854</v>
      </c>
      <c r="O273" s="220">
        <f t="shared" si="159"/>
        <v>22275846.02</v>
      </c>
      <c r="P273" s="220">
        <f t="shared" si="160"/>
        <v>19889148.232142854</v>
      </c>
      <c r="Q273" s="220">
        <v>22275846.02</v>
      </c>
      <c r="R273" s="454" t="s">
        <v>125</v>
      </c>
      <c r="S273" s="448">
        <v>10</v>
      </c>
      <c r="T273" s="221"/>
      <c r="U273" s="221"/>
      <c r="V273" s="221"/>
      <c r="W273" s="221">
        <v>16703</v>
      </c>
      <c r="X273" s="222">
        <f t="shared" si="161"/>
        <v>18707.36</v>
      </c>
      <c r="Y273" s="221">
        <f>5+5</f>
        <v>10</v>
      </c>
      <c r="Z273" s="221">
        <f t="shared" si="162"/>
        <v>16703</v>
      </c>
      <c r="AA273" s="221">
        <f t="shared" si="162"/>
        <v>18707.36</v>
      </c>
      <c r="AB273" s="221">
        <f t="shared" si="162"/>
        <v>10</v>
      </c>
      <c r="AC273" s="221"/>
      <c r="AD273" s="221"/>
      <c r="AE273" s="221"/>
      <c r="AF273" s="221"/>
      <c r="AG273" s="222">
        <f t="shared" si="163"/>
        <v>0</v>
      </c>
      <c r="AH273" s="221"/>
      <c r="AI273" s="222"/>
      <c r="AJ273" s="222">
        <f>AI273*1.12</f>
        <v>0</v>
      </c>
      <c r="AK273" s="218">
        <f>AH273-AE273</f>
        <v>0</v>
      </c>
      <c r="AL273" s="223" t="str">
        <f t="shared" si="124"/>
        <v/>
      </c>
      <c r="AM273" s="224"/>
      <c r="AN273" s="224"/>
      <c r="AO273" s="224"/>
      <c r="AP273" s="222"/>
      <c r="AQ273" s="222">
        <f t="shared" si="164"/>
        <v>0</v>
      </c>
      <c r="AR273" s="222"/>
      <c r="AS273" s="222"/>
      <c r="AT273" s="222"/>
      <c r="AU273" s="222"/>
      <c r="AV273" s="222"/>
      <c r="AW273" s="222"/>
      <c r="AX273" s="222"/>
      <c r="AY273" s="222"/>
      <c r="AZ273" s="225"/>
      <c r="BA273" s="222"/>
      <c r="BB273" s="222"/>
      <c r="BC273" s="222"/>
      <c r="BD273" s="222"/>
      <c r="BE273" s="222"/>
      <c r="BF273" s="222"/>
      <c r="BG273" s="226"/>
      <c r="BH273" s="226"/>
      <c r="BI273" s="226"/>
      <c r="BJ273" s="226"/>
      <c r="BK273" s="226"/>
      <c r="BL273" s="226"/>
      <c r="BM273" s="226"/>
      <c r="BN273" s="226"/>
      <c r="BQ273" s="228"/>
      <c r="BR273" s="229"/>
      <c r="BS273" s="226"/>
    </row>
    <row r="274" spans="1:71" s="103" customFormat="1" x14ac:dyDescent="0.35">
      <c r="A274" s="499"/>
      <c r="B274" s="470"/>
      <c r="C274" s="122" t="s">
        <v>74</v>
      </c>
      <c r="D274" s="122" t="s">
        <v>75</v>
      </c>
      <c r="E274" s="185"/>
      <c r="F274" s="185"/>
      <c r="G274" s="494"/>
      <c r="H274" s="497"/>
      <c r="I274" s="189"/>
      <c r="J274" s="189"/>
      <c r="K274" s="463"/>
      <c r="L274" s="501"/>
      <c r="M274" s="459"/>
      <c r="N274" s="125">
        <f t="shared" si="159"/>
        <v>19889148.232142854</v>
      </c>
      <c r="O274" s="125">
        <f t="shared" si="159"/>
        <v>22275846.02</v>
      </c>
      <c r="P274" s="125">
        <f t="shared" si="160"/>
        <v>19889148.232142854</v>
      </c>
      <c r="Q274" s="125">
        <f>Q273</f>
        <v>22275846.02</v>
      </c>
      <c r="R274" s="454"/>
      <c r="S274" s="448"/>
      <c r="T274" s="124"/>
      <c r="U274" s="124"/>
      <c r="V274" s="124"/>
      <c r="W274" s="124"/>
      <c r="X274" s="123">
        <f t="shared" si="161"/>
        <v>0</v>
      </c>
      <c r="Y274" s="124"/>
      <c r="Z274" s="124">
        <f t="shared" si="162"/>
        <v>0</v>
      </c>
      <c r="AA274" s="124">
        <f t="shared" si="162"/>
        <v>0</v>
      </c>
      <c r="AB274" s="124"/>
      <c r="AC274" s="124"/>
      <c r="AD274" s="124"/>
      <c r="AE274" s="124"/>
      <c r="AF274" s="124">
        <f>9019.8108/1.12+8866.41868/1.12</f>
        <v>15969.847749999997</v>
      </c>
      <c r="AG274" s="123">
        <f t="shared" si="163"/>
        <v>17886.229479999998</v>
      </c>
      <c r="AH274" s="124"/>
      <c r="AI274" s="123"/>
      <c r="AJ274" s="123">
        <f>AI274*1.12</f>
        <v>0</v>
      </c>
      <c r="AK274" s="123"/>
      <c r="AL274" s="126" t="str">
        <f t="shared" si="124"/>
        <v/>
      </c>
      <c r="AM274" s="127">
        <f>AF274</f>
        <v>15969.847749999997</v>
      </c>
      <c r="AN274" s="127"/>
      <c r="AO274" s="127"/>
      <c r="AP274" s="123">
        <f>AF274</f>
        <v>15969.847749999997</v>
      </c>
      <c r="AQ274" s="123">
        <f t="shared" si="164"/>
        <v>17886.229479999998</v>
      </c>
      <c r="AR274" s="123"/>
      <c r="AS274" s="123"/>
      <c r="AT274" s="123"/>
      <c r="AU274" s="123"/>
      <c r="AV274" s="123"/>
      <c r="AW274" s="123"/>
      <c r="AX274" s="123"/>
      <c r="AY274" s="123"/>
      <c r="AZ274" s="123"/>
      <c r="BA274" s="123"/>
      <c r="BB274" s="123"/>
      <c r="BC274" s="123"/>
      <c r="BD274" s="123"/>
      <c r="BE274" s="123"/>
      <c r="BF274" s="123"/>
      <c r="BG274" s="106"/>
      <c r="BH274" s="106"/>
      <c r="BI274" s="106"/>
      <c r="BJ274" s="106"/>
      <c r="BK274" s="106"/>
      <c r="BL274" s="106"/>
      <c r="BM274" s="106"/>
      <c r="BN274" s="106"/>
      <c r="BQ274" s="29"/>
      <c r="BR274" s="107"/>
      <c r="BS274" s="106"/>
    </row>
    <row r="275" spans="1:71" x14ac:dyDescent="0.35">
      <c r="A275" s="499"/>
      <c r="B275" s="470"/>
      <c r="C275" s="129" t="s">
        <v>74</v>
      </c>
      <c r="D275" s="129" t="s">
        <v>76</v>
      </c>
      <c r="E275" s="187"/>
      <c r="F275" s="187"/>
      <c r="G275" s="494"/>
      <c r="H275" s="497"/>
      <c r="I275" s="191"/>
      <c r="J275" s="191"/>
      <c r="K275" s="463"/>
      <c r="L275" s="501"/>
      <c r="M275" s="459"/>
      <c r="N275" s="132">
        <f t="shared" si="159"/>
        <v>19889148.232142854</v>
      </c>
      <c r="O275" s="132">
        <f t="shared" si="159"/>
        <v>22275846.02</v>
      </c>
      <c r="P275" s="132">
        <f t="shared" si="160"/>
        <v>19889148.232142854</v>
      </c>
      <c r="Q275" s="132">
        <f>Q274</f>
        <v>22275846.02</v>
      </c>
      <c r="R275" s="454"/>
      <c r="S275" s="448"/>
      <c r="T275" s="131"/>
      <c r="U275" s="131"/>
      <c r="V275" s="131"/>
      <c r="W275" s="131">
        <f>W274</f>
        <v>0</v>
      </c>
      <c r="X275" s="130">
        <f t="shared" si="161"/>
        <v>0</v>
      </c>
      <c r="Y275" s="131"/>
      <c r="Z275" s="131">
        <f t="shared" si="162"/>
        <v>0</v>
      </c>
      <c r="AA275" s="131">
        <f t="shared" si="162"/>
        <v>0</v>
      </c>
      <c r="AB275" s="131"/>
      <c r="AC275" s="131"/>
      <c r="AD275" s="131"/>
      <c r="AE275" s="131"/>
      <c r="AF275" s="131">
        <f>AF274</f>
        <v>15969.847749999997</v>
      </c>
      <c r="AG275" s="130">
        <f t="shared" si="163"/>
        <v>17886.229479999998</v>
      </c>
      <c r="AH275" s="131"/>
      <c r="AI275" s="130">
        <f>AI274</f>
        <v>0</v>
      </c>
      <c r="AJ275" s="130">
        <f>AJ274</f>
        <v>0</v>
      </c>
      <c r="AK275" s="130"/>
      <c r="AL275" s="133" t="str">
        <f t="shared" si="124"/>
        <v/>
      </c>
      <c r="AM275" s="134">
        <f>AF275</f>
        <v>15969.847749999997</v>
      </c>
      <c r="AN275" s="134"/>
      <c r="AO275" s="134"/>
      <c r="AP275" s="130">
        <f>AF275</f>
        <v>15969.847749999997</v>
      </c>
      <c r="AQ275" s="130">
        <f t="shared" si="164"/>
        <v>17886.229479999998</v>
      </c>
      <c r="AR275" s="130"/>
      <c r="AS275" s="130"/>
      <c r="AT275" s="130"/>
      <c r="AU275" s="130"/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  <c r="BG275" s="31"/>
      <c r="BH275" s="31"/>
      <c r="BI275" s="31"/>
      <c r="BJ275" s="31"/>
      <c r="BK275" s="31"/>
      <c r="BL275" s="31"/>
      <c r="BM275" s="31"/>
      <c r="BN275" s="31"/>
      <c r="BQ275" s="27"/>
      <c r="BR275" s="28"/>
      <c r="BS275" s="31"/>
    </row>
    <row r="276" spans="1:71" s="227" customFormat="1" x14ac:dyDescent="0.35">
      <c r="A276" s="499"/>
      <c r="B276" s="470"/>
      <c r="C276" s="217" t="s">
        <v>72</v>
      </c>
      <c r="D276" s="217" t="s">
        <v>73</v>
      </c>
      <c r="E276" s="218"/>
      <c r="F276" s="218"/>
      <c r="G276" s="494"/>
      <c r="H276" s="497"/>
      <c r="I276" s="219"/>
      <c r="J276" s="219"/>
      <c r="K276" s="463" t="s">
        <v>120</v>
      </c>
      <c r="L276" s="501" t="s">
        <v>163</v>
      </c>
      <c r="M276" s="459" t="s">
        <v>113</v>
      </c>
      <c r="N276" s="220">
        <f t="shared" si="159"/>
        <v>99445741.133928552</v>
      </c>
      <c r="O276" s="220">
        <f t="shared" si="159"/>
        <v>111379230.06999999</v>
      </c>
      <c r="P276" s="220">
        <f t="shared" si="160"/>
        <v>99445741.133928552</v>
      </c>
      <c r="Q276" s="220">
        <v>111379230.06999999</v>
      </c>
      <c r="R276" s="454" t="s">
        <v>125</v>
      </c>
      <c r="S276" s="448">
        <v>50</v>
      </c>
      <c r="T276" s="221"/>
      <c r="U276" s="221"/>
      <c r="V276" s="221"/>
      <c r="W276" s="221">
        <v>149421</v>
      </c>
      <c r="X276" s="222">
        <f t="shared" si="161"/>
        <v>167351.52000000002</v>
      </c>
      <c r="Y276" s="221">
        <f>2+48</f>
        <v>50</v>
      </c>
      <c r="Z276" s="221">
        <f t="shared" si="162"/>
        <v>149421</v>
      </c>
      <c r="AA276" s="221">
        <f t="shared" si="162"/>
        <v>167351.52000000002</v>
      </c>
      <c r="AB276" s="221">
        <f t="shared" si="162"/>
        <v>50</v>
      </c>
      <c r="AC276" s="221"/>
      <c r="AD276" s="221"/>
      <c r="AE276" s="221"/>
      <c r="AF276" s="221"/>
      <c r="AG276" s="222">
        <f t="shared" si="163"/>
        <v>0</v>
      </c>
      <c r="AH276" s="221"/>
      <c r="AI276" s="222"/>
      <c r="AJ276" s="222">
        <f>AI276*1.12</f>
        <v>0</v>
      </c>
      <c r="AK276" s="218">
        <f>AH276-AE276</f>
        <v>0</v>
      </c>
      <c r="AL276" s="223" t="str">
        <f t="shared" si="124"/>
        <v/>
      </c>
      <c r="AM276" s="224"/>
      <c r="AN276" s="224"/>
      <c r="AO276" s="224"/>
      <c r="AP276" s="222"/>
      <c r="AQ276" s="222">
        <f t="shared" si="164"/>
        <v>0</v>
      </c>
      <c r="AR276" s="222"/>
      <c r="AS276" s="222"/>
      <c r="AT276" s="222"/>
      <c r="AU276" s="222"/>
      <c r="AV276" s="222"/>
      <c r="AW276" s="222"/>
      <c r="AX276" s="222"/>
      <c r="AY276" s="222"/>
      <c r="AZ276" s="225"/>
      <c r="BA276" s="222"/>
      <c r="BB276" s="222"/>
      <c r="BC276" s="222"/>
      <c r="BD276" s="222"/>
      <c r="BE276" s="222"/>
      <c r="BF276" s="222"/>
      <c r="BG276" s="226"/>
      <c r="BH276" s="226"/>
      <c r="BI276" s="226"/>
      <c r="BJ276" s="226"/>
      <c r="BK276" s="226"/>
      <c r="BL276" s="226"/>
      <c r="BM276" s="226"/>
      <c r="BN276" s="226"/>
      <c r="BQ276" s="228"/>
      <c r="BR276" s="229"/>
      <c r="BS276" s="226"/>
    </row>
    <row r="277" spans="1:71" s="103" customFormat="1" x14ac:dyDescent="0.35">
      <c r="A277" s="499"/>
      <c r="B277" s="470"/>
      <c r="C277" s="122" t="s">
        <v>74</v>
      </c>
      <c r="D277" s="122" t="s">
        <v>75</v>
      </c>
      <c r="E277" s="185"/>
      <c r="F277" s="185"/>
      <c r="G277" s="494"/>
      <c r="H277" s="497"/>
      <c r="I277" s="189"/>
      <c r="J277" s="189"/>
      <c r="K277" s="463"/>
      <c r="L277" s="501"/>
      <c r="M277" s="459"/>
      <c r="N277" s="125">
        <f t="shared" si="159"/>
        <v>99445741.133928552</v>
      </c>
      <c r="O277" s="125">
        <f t="shared" si="159"/>
        <v>111379230.06999999</v>
      </c>
      <c r="P277" s="125">
        <f t="shared" si="160"/>
        <v>99445741.133928552</v>
      </c>
      <c r="Q277" s="125">
        <f>Q276</f>
        <v>111379230.06999999</v>
      </c>
      <c r="R277" s="454"/>
      <c r="S277" s="448"/>
      <c r="T277" s="124"/>
      <c r="U277" s="124"/>
      <c r="V277" s="124"/>
      <c r="W277" s="124"/>
      <c r="X277" s="123">
        <f t="shared" si="161"/>
        <v>0</v>
      </c>
      <c r="Y277" s="124"/>
      <c r="Z277" s="124">
        <f t="shared" si="162"/>
        <v>0</v>
      </c>
      <c r="AA277" s="124">
        <f t="shared" si="162"/>
        <v>0</v>
      </c>
      <c r="AB277" s="124"/>
      <c r="AC277" s="124"/>
      <c r="AD277" s="124"/>
      <c r="AE277" s="124"/>
      <c r="AF277" s="124">
        <f>4376.14168/1.12+97490.47903/1.12</f>
        <v>90952.339919642851</v>
      </c>
      <c r="AG277" s="123">
        <f t="shared" si="163"/>
        <v>101866.62071</v>
      </c>
      <c r="AH277" s="124"/>
      <c r="AI277" s="123"/>
      <c r="AJ277" s="123">
        <f>AI277*1.12</f>
        <v>0</v>
      </c>
      <c r="AK277" s="123"/>
      <c r="AL277" s="126" t="str">
        <f t="shared" si="124"/>
        <v/>
      </c>
      <c r="AM277" s="127">
        <f>AF277</f>
        <v>90952.339919642851</v>
      </c>
      <c r="AN277" s="127"/>
      <c r="AO277" s="127"/>
      <c r="AP277" s="123">
        <f>AF277</f>
        <v>90952.339919642851</v>
      </c>
      <c r="AQ277" s="123">
        <f t="shared" si="164"/>
        <v>101866.62071</v>
      </c>
      <c r="AR277" s="123"/>
      <c r="AS277" s="123"/>
      <c r="AT277" s="123"/>
      <c r="AU277" s="123"/>
      <c r="AV277" s="123"/>
      <c r="AW277" s="123"/>
      <c r="AX277" s="123"/>
      <c r="AY277" s="123"/>
      <c r="AZ277" s="123"/>
      <c r="BA277" s="123"/>
      <c r="BB277" s="123"/>
      <c r="BC277" s="123"/>
      <c r="BD277" s="123"/>
      <c r="BE277" s="123"/>
      <c r="BF277" s="123"/>
      <c r="BG277" s="106"/>
      <c r="BH277" s="106"/>
      <c r="BI277" s="106"/>
      <c r="BJ277" s="106"/>
      <c r="BK277" s="106"/>
      <c r="BL277" s="106"/>
      <c r="BM277" s="106"/>
      <c r="BN277" s="106"/>
      <c r="BQ277" s="29"/>
      <c r="BR277" s="107"/>
      <c r="BS277" s="106"/>
    </row>
    <row r="278" spans="1:71" x14ac:dyDescent="0.35">
      <c r="A278" s="499"/>
      <c r="B278" s="470"/>
      <c r="C278" s="129" t="s">
        <v>74</v>
      </c>
      <c r="D278" s="129" t="s">
        <v>76</v>
      </c>
      <c r="E278" s="187"/>
      <c r="F278" s="187"/>
      <c r="G278" s="494"/>
      <c r="H278" s="497"/>
      <c r="I278" s="191"/>
      <c r="J278" s="191"/>
      <c r="K278" s="463"/>
      <c r="L278" s="501"/>
      <c r="M278" s="459"/>
      <c r="N278" s="132">
        <f t="shared" si="159"/>
        <v>99445741.133928552</v>
      </c>
      <c r="O278" s="132">
        <f t="shared" si="159"/>
        <v>111379230.06999999</v>
      </c>
      <c r="P278" s="132">
        <f t="shared" si="160"/>
        <v>99445741.133928552</v>
      </c>
      <c r="Q278" s="132">
        <f>Q277</f>
        <v>111379230.06999999</v>
      </c>
      <c r="R278" s="454"/>
      <c r="S278" s="448"/>
      <c r="T278" s="131"/>
      <c r="U278" s="131"/>
      <c r="V278" s="131"/>
      <c r="W278" s="131">
        <f>W277</f>
        <v>0</v>
      </c>
      <c r="X278" s="130">
        <f t="shared" si="161"/>
        <v>0</v>
      </c>
      <c r="Y278" s="131"/>
      <c r="Z278" s="131">
        <f t="shared" si="162"/>
        <v>0</v>
      </c>
      <c r="AA278" s="131">
        <f t="shared" si="162"/>
        <v>0</v>
      </c>
      <c r="AB278" s="131"/>
      <c r="AC278" s="131"/>
      <c r="AD278" s="131"/>
      <c r="AE278" s="131"/>
      <c r="AF278" s="131">
        <f>AF277</f>
        <v>90952.339919642851</v>
      </c>
      <c r="AG278" s="130">
        <f t="shared" si="163"/>
        <v>101866.62071</v>
      </c>
      <c r="AH278" s="131"/>
      <c r="AI278" s="130">
        <f>AI277</f>
        <v>0</v>
      </c>
      <c r="AJ278" s="130">
        <f>AJ277</f>
        <v>0</v>
      </c>
      <c r="AK278" s="130"/>
      <c r="AL278" s="133" t="str">
        <f t="shared" si="124"/>
        <v/>
      </c>
      <c r="AM278" s="134">
        <f>AF278</f>
        <v>90952.339919642851</v>
      </c>
      <c r="AN278" s="134"/>
      <c r="AO278" s="134"/>
      <c r="AP278" s="130">
        <f>AF278</f>
        <v>90952.339919642851</v>
      </c>
      <c r="AQ278" s="130">
        <f t="shared" si="164"/>
        <v>101866.62071</v>
      </c>
      <c r="AR278" s="130"/>
      <c r="AS278" s="130"/>
      <c r="AT278" s="130"/>
      <c r="AU278" s="130"/>
      <c r="AV278" s="130"/>
      <c r="AW278" s="130"/>
      <c r="AX278" s="130"/>
      <c r="AY278" s="130"/>
      <c r="AZ278" s="130"/>
      <c r="BA278" s="130"/>
      <c r="BB278" s="130"/>
      <c r="BC278" s="130"/>
      <c r="BD278" s="130"/>
      <c r="BE278" s="130"/>
      <c r="BF278" s="130"/>
      <c r="BG278" s="31"/>
      <c r="BH278" s="31"/>
      <c r="BI278" s="31"/>
      <c r="BJ278" s="31"/>
      <c r="BK278" s="31"/>
      <c r="BL278" s="31"/>
      <c r="BM278" s="31"/>
      <c r="BN278" s="31"/>
      <c r="BQ278" s="27"/>
      <c r="BR278" s="28"/>
      <c r="BS278" s="31"/>
    </row>
    <row r="279" spans="1:71" s="227" customFormat="1" x14ac:dyDescent="0.35">
      <c r="A279" s="499"/>
      <c r="B279" s="470"/>
      <c r="C279" s="217" t="s">
        <v>72</v>
      </c>
      <c r="D279" s="217" t="s">
        <v>73</v>
      </c>
      <c r="E279" s="218"/>
      <c r="F279" s="218"/>
      <c r="G279" s="494"/>
      <c r="H279" s="497"/>
      <c r="I279" s="219"/>
      <c r="J279" s="219"/>
      <c r="K279" s="463" t="s">
        <v>137</v>
      </c>
      <c r="L279" s="454" t="s">
        <v>159</v>
      </c>
      <c r="M279" s="459" t="s">
        <v>113</v>
      </c>
      <c r="N279" s="220">
        <f t="shared" si="159"/>
        <v>39778296.446428567</v>
      </c>
      <c r="O279" s="220">
        <f t="shared" si="159"/>
        <v>44551692.020000003</v>
      </c>
      <c r="P279" s="220">
        <f t="shared" si="160"/>
        <v>39778296.446428567</v>
      </c>
      <c r="Q279" s="220">
        <v>44551692.020000003</v>
      </c>
      <c r="R279" s="454" t="s">
        <v>125</v>
      </c>
      <c r="S279" s="448">
        <v>20</v>
      </c>
      <c r="T279" s="221"/>
      <c r="U279" s="221"/>
      <c r="V279" s="221"/>
      <c r="W279" s="221">
        <v>27340</v>
      </c>
      <c r="X279" s="222">
        <f t="shared" si="161"/>
        <v>30620.800000000003</v>
      </c>
      <c r="Y279" s="221">
        <f>2+18</f>
        <v>20</v>
      </c>
      <c r="Z279" s="221">
        <f t="shared" si="162"/>
        <v>27340</v>
      </c>
      <c r="AA279" s="221">
        <f t="shared" si="162"/>
        <v>30620.800000000003</v>
      </c>
      <c r="AB279" s="221">
        <f t="shared" si="162"/>
        <v>20</v>
      </c>
      <c r="AC279" s="221"/>
      <c r="AD279" s="221"/>
      <c r="AE279" s="221"/>
      <c r="AF279" s="221"/>
      <c r="AG279" s="222">
        <f t="shared" si="163"/>
        <v>0</v>
      </c>
      <c r="AH279" s="221"/>
      <c r="AI279" s="222"/>
      <c r="AJ279" s="222">
        <f>AI279*1.12</f>
        <v>0</v>
      </c>
      <c r="AK279" s="218">
        <f>AH279-AE279</f>
        <v>0</v>
      </c>
      <c r="AL279" s="223" t="str">
        <f t="shared" si="124"/>
        <v/>
      </c>
      <c r="AM279" s="224"/>
      <c r="AN279" s="224"/>
      <c r="AO279" s="224"/>
      <c r="AP279" s="222"/>
      <c r="AQ279" s="222">
        <f t="shared" si="164"/>
        <v>0</v>
      </c>
      <c r="AR279" s="222"/>
      <c r="AS279" s="222"/>
      <c r="AT279" s="222"/>
      <c r="AU279" s="222"/>
      <c r="AV279" s="222"/>
      <c r="AW279" s="222"/>
      <c r="AX279" s="222"/>
      <c r="AY279" s="222"/>
      <c r="AZ279" s="225"/>
      <c r="BA279" s="222"/>
      <c r="BB279" s="222"/>
      <c r="BC279" s="222"/>
      <c r="BD279" s="222"/>
      <c r="BE279" s="222"/>
      <c r="BF279" s="222"/>
      <c r="BG279" s="226"/>
      <c r="BH279" s="226"/>
      <c r="BI279" s="226"/>
      <c r="BJ279" s="226"/>
      <c r="BK279" s="226"/>
      <c r="BL279" s="226"/>
      <c r="BM279" s="226"/>
      <c r="BN279" s="226"/>
      <c r="BQ279" s="228"/>
      <c r="BR279" s="229"/>
      <c r="BS279" s="226"/>
    </row>
    <row r="280" spans="1:71" s="103" customFormat="1" x14ac:dyDescent="0.35">
      <c r="A280" s="499"/>
      <c r="B280" s="470"/>
      <c r="C280" s="122" t="s">
        <v>74</v>
      </c>
      <c r="D280" s="122" t="s">
        <v>75</v>
      </c>
      <c r="E280" s="185"/>
      <c r="F280" s="185"/>
      <c r="G280" s="494"/>
      <c r="H280" s="497"/>
      <c r="I280" s="189"/>
      <c r="J280" s="189"/>
      <c r="K280" s="463"/>
      <c r="L280" s="454"/>
      <c r="M280" s="459"/>
      <c r="N280" s="125">
        <f t="shared" si="159"/>
        <v>39778296.446428567</v>
      </c>
      <c r="O280" s="125">
        <f t="shared" si="159"/>
        <v>44551692.020000003</v>
      </c>
      <c r="P280" s="125">
        <f t="shared" si="160"/>
        <v>39778296.446428567</v>
      </c>
      <c r="Q280" s="125">
        <f>Q279</f>
        <v>44551692.020000003</v>
      </c>
      <c r="R280" s="454"/>
      <c r="S280" s="448"/>
      <c r="T280" s="124"/>
      <c r="U280" s="124"/>
      <c r="V280" s="124"/>
      <c r="W280" s="124"/>
      <c r="X280" s="123">
        <f t="shared" si="161"/>
        <v>0</v>
      </c>
      <c r="Y280" s="124"/>
      <c r="Z280" s="124">
        <f t="shared" si="162"/>
        <v>0</v>
      </c>
      <c r="AA280" s="124">
        <f t="shared" si="162"/>
        <v>0</v>
      </c>
      <c r="AB280" s="124"/>
      <c r="AC280" s="124"/>
      <c r="AD280" s="124"/>
      <c r="AE280" s="124"/>
      <c r="AF280" s="124">
        <f>2715.42656/1.12</f>
        <v>2424.4879999999998</v>
      </c>
      <c r="AG280" s="123">
        <f t="shared" si="163"/>
        <v>2715.4265599999999</v>
      </c>
      <c r="AH280" s="124"/>
      <c r="AI280" s="123"/>
      <c r="AJ280" s="123">
        <f>AI280*1.12</f>
        <v>0</v>
      </c>
      <c r="AK280" s="123"/>
      <c r="AL280" s="126" t="str">
        <f t="shared" si="124"/>
        <v/>
      </c>
      <c r="AM280" s="127">
        <f>AF280</f>
        <v>2424.4879999999998</v>
      </c>
      <c r="AN280" s="127"/>
      <c r="AO280" s="127"/>
      <c r="AP280" s="123">
        <f>AF280</f>
        <v>2424.4879999999998</v>
      </c>
      <c r="AQ280" s="123">
        <f t="shared" si="164"/>
        <v>2715.4265599999999</v>
      </c>
      <c r="AR280" s="123"/>
      <c r="AS280" s="123"/>
      <c r="AT280" s="123"/>
      <c r="AU280" s="123"/>
      <c r="AV280" s="123"/>
      <c r="AW280" s="123"/>
      <c r="AX280" s="123"/>
      <c r="AY280" s="123"/>
      <c r="AZ280" s="123"/>
      <c r="BA280" s="123"/>
      <c r="BB280" s="123"/>
      <c r="BC280" s="123"/>
      <c r="BD280" s="123"/>
      <c r="BE280" s="123"/>
      <c r="BF280" s="123"/>
      <c r="BG280" s="106"/>
      <c r="BH280" s="106"/>
      <c r="BI280" s="106"/>
      <c r="BJ280" s="106"/>
      <c r="BK280" s="106"/>
      <c r="BL280" s="106"/>
      <c r="BM280" s="106"/>
      <c r="BN280" s="106"/>
      <c r="BQ280" s="29"/>
      <c r="BR280" s="107"/>
      <c r="BS280" s="106"/>
    </row>
    <row r="281" spans="1:71" x14ac:dyDescent="0.35">
      <c r="A281" s="499"/>
      <c r="B281" s="470"/>
      <c r="C281" s="129" t="s">
        <v>74</v>
      </c>
      <c r="D281" s="129" t="s">
        <v>76</v>
      </c>
      <c r="E281" s="187"/>
      <c r="F281" s="187"/>
      <c r="G281" s="494"/>
      <c r="H281" s="497"/>
      <c r="I281" s="191"/>
      <c r="J281" s="191"/>
      <c r="K281" s="463"/>
      <c r="L281" s="454"/>
      <c r="M281" s="459"/>
      <c r="N281" s="132">
        <f t="shared" si="159"/>
        <v>39778296.446428567</v>
      </c>
      <c r="O281" s="132">
        <f t="shared" si="159"/>
        <v>44551692.020000003</v>
      </c>
      <c r="P281" s="132">
        <f t="shared" si="160"/>
        <v>39778296.446428567</v>
      </c>
      <c r="Q281" s="132">
        <f>Q280</f>
        <v>44551692.020000003</v>
      </c>
      <c r="R281" s="454"/>
      <c r="S281" s="448"/>
      <c r="T281" s="131"/>
      <c r="U281" s="131"/>
      <c r="V281" s="131"/>
      <c r="W281" s="131">
        <f>W280</f>
        <v>0</v>
      </c>
      <c r="X281" s="130">
        <f t="shared" si="161"/>
        <v>0</v>
      </c>
      <c r="Y281" s="131"/>
      <c r="Z281" s="131">
        <f t="shared" si="162"/>
        <v>0</v>
      </c>
      <c r="AA281" s="131">
        <f t="shared" si="162"/>
        <v>0</v>
      </c>
      <c r="AB281" s="131"/>
      <c r="AC281" s="131"/>
      <c r="AD281" s="131"/>
      <c r="AE281" s="131"/>
      <c r="AF281" s="131">
        <f>AF280</f>
        <v>2424.4879999999998</v>
      </c>
      <c r="AG281" s="130">
        <f t="shared" si="163"/>
        <v>2715.4265599999999</v>
      </c>
      <c r="AH281" s="131"/>
      <c r="AI281" s="130">
        <f>AI280</f>
        <v>0</v>
      </c>
      <c r="AJ281" s="130">
        <f>AJ280</f>
        <v>0</v>
      </c>
      <c r="AK281" s="130"/>
      <c r="AL281" s="133" t="str">
        <f t="shared" si="124"/>
        <v/>
      </c>
      <c r="AM281" s="134">
        <f>AF281</f>
        <v>2424.4879999999998</v>
      </c>
      <c r="AN281" s="134"/>
      <c r="AO281" s="134"/>
      <c r="AP281" s="130">
        <f>AF281</f>
        <v>2424.4879999999998</v>
      </c>
      <c r="AQ281" s="130">
        <f t="shared" si="164"/>
        <v>2715.4265599999999</v>
      </c>
      <c r="AR281" s="130"/>
      <c r="AS281" s="130"/>
      <c r="AT281" s="130"/>
      <c r="AU281" s="130"/>
      <c r="AV281" s="130"/>
      <c r="AW281" s="130"/>
      <c r="AX281" s="130"/>
      <c r="AY281" s="130"/>
      <c r="AZ281" s="130"/>
      <c r="BA281" s="130"/>
      <c r="BB281" s="130"/>
      <c r="BC281" s="130"/>
      <c r="BD281" s="130"/>
      <c r="BE281" s="130"/>
      <c r="BF281" s="130"/>
      <c r="BG281" s="31"/>
      <c r="BH281" s="31"/>
      <c r="BI281" s="31"/>
      <c r="BJ281" s="31"/>
      <c r="BK281" s="31"/>
      <c r="BL281" s="31"/>
      <c r="BM281" s="31"/>
      <c r="BN281" s="31"/>
      <c r="BQ281" s="27"/>
      <c r="BR281" s="28"/>
      <c r="BS281" s="31"/>
    </row>
    <row r="282" spans="1:71" s="227" customFormat="1" x14ac:dyDescent="0.35">
      <c r="A282" s="499"/>
      <c r="B282" s="470"/>
      <c r="C282" s="217" t="s">
        <v>72</v>
      </c>
      <c r="D282" s="217" t="s">
        <v>73</v>
      </c>
      <c r="E282" s="218"/>
      <c r="F282" s="218"/>
      <c r="G282" s="494"/>
      <c r="H282" s="497"/>
      <c r="I282" s="219"/>
      <c r="J282" s="219"/>
      <c r="K282" s="463" t="s">
        <v>135</v>
      </c>
      <c r="L282" s="501" t="s">
        <v>157</v>
      </c>
      <c r="M282" s="459" t="s">
        <v>113</v>
      </c>
      <c r="N282" s="220">
        <f t="shared" si="159"/>
        <v>9944574.1071428563</v>
      </c>
      <c r="O282" s="220">
        <f t="shared" si="159"/>
        <v>11137923</v>
      </c>
      <c r="P282" s="220">
        <f t="shared" si="160"/>
        <v>9944574.1071428563</v>
      </c>
      <c r="Q282" s="220">
        <v>11137923</v>
      </c>
      <c r="R282" s="454" t="s">
        <v>125</v>
      </c>
      <c r="S282" s="448">
        <v>5</v>
      </c>
      <c r="T282" s="221"/>
      <c r="U282" s="221"/>
      <c r="V282" s="221"/>
      <c r="W282" s="221">
        <f>9663-6</f>
        <v>9657</v>
      </c>
      <c r="X282" s="222">
        <f t="shared" si="161"/>
        <v>10815.84</v>
      </c>
      <c r="Y282" s="221">
        <f>5</f>
        <v>5</v>
      </c>
      <c r="Z282" s="221">
        <f t="shared" si="162"/>
        <v>9657</v>
      </c>
      <c r="AA282" s="221">
        <f t="shared" si="162"/>
        <v>10815.84</v>
      </c>
      <c r="AB282" s="221">
        <f t="shared" si="162"/>
        <v>5</v>
      </c>
      <c r="AC282" s="221"/>
      <c r="AD282" s="221"/>
      <c r="AE282" s="221"/>
      <c r="AF282" s="221"/>
      <c r="AG282" s="222">
        <f t="shared" si="163"/>
        <v>0</v>
      </c>
      <c r="AH282" s="221"/>
      <c r="AI282" s="222"/>
      <c r="AJ282" s="222">
        <f>AI282*1.12</f>
        <v>0</v>
      </c>
      <c r="AK282" s="218">
        <f>AH282-AE282</f>
        <v>0</v>
      </c>
      <c r="AL282" s="223" t="str">
        <f t="shared" si="124"/>
        <v/>
      </c>
      <c r="AM282" s="224"/>
      <c r="AN282" s="224"/>
      <c r="AO282" s="224"/>
      <c r="AP282" s="222"/>
      <c r="AQ282" s="222">
        <f t="shared" si="164"/>
        <v>0</v>
      </c>
      <c r="AR282" s="222"/>
      <c r="AS282" s="222"/>
      <c r="AT282" s="222"/>
      <c r="AU282" s="222"/>
      <c r="AV282" s="222"/>
      <c r="AW282" s="222"/>
      <c r="AX282" s="222"/>
      <c r="AY282" s="222"/>
      <c r="AZ282" s="225"/>
      <c r="BA282" s="222"/>
      <c r="BB282" s="222"/>
      <c r="BC282" s="222"/>
      <c r="BD282" s="222"/>
      <c r="BE282" s="222"/>
      <c r="BF282" s="222"/>
      <c r="BG282" s="226"/>
      <c r="BH282" s="226"/>
      <c r="BI282" s="226"/>
      <c r="BJ282" s="226"/>
      <c r="BK282" s="226"/>
      <c r="BL282" s="226"/>
      <c r="BM282" s="226"/>
      <c r="BN282" s="226"/>
      <c r="BQ282" s="228"/>
      <c r="BR282" s="229"/>
      <c r="BS282" s="226"/>
    </row>
    <row r="283" spans="1:71" s="103" customFormat="1" x14ac:dyDescent="0.35">
      <c r="A283" s="499"/>
      <c r="B283" s="470"/>
      <c r="C283" s="122" t="s">
        <v>74</v>
      </c>
      <c r="D283" s="122" t="s">
        <v>75</v>
      </c>
      <c r="E283" s="185"/>
      <c r="F283" s="185"/>
      <c r="G283" s="494"/>
      <c r="H283" s="497"/>
      <c r="I283" s="189"/>
      <c r="J283" s="189"/>
      <c r="K283" s="463"/>
      <c r="L283" s="501"/>
      <c r="M283" s="459"/>
      <c r="N283" s="125">
        <f t="shared" si="159"/>
        <v>9944574.1071428563</v>
      </c>
      <c r="O283" s="125">
        <f t="shared" si="159"/>
        <v>11137923</v>
      </c>
      <c r="P283" s="125">
        <f t="shared" si="160"/>
        <v>9944574.1071428563</v>
      </c>
      <c r="Q283" s="125">
        <f>Q282</f>
        <v>11137923</v>
      </c>
      <c r="R283" s="454"/>
      <c r="S283" s="448"/>
      <c r="T283" s="124"/>
      <c r="U283" s="124"/>
      <c r="V283" s="124"/>
      <c r="W283" s="124"/>
      <c r="X283" s="123">
        <f t="shared" si="161"/>
        <v>0</v>
      </c>
      <c r="Y283" s="124"/>
      <c r="Z283" s="124">
        <f t="shared" si="162"/>
        <v>0</v>
      </c>
      <c r="AA283" s="124">
        <f t="shared" si="162"/>
        <v>0</v>
      </c>
      <c r="AB283" s="124"/>
      <c r="AC283" s="124"/>
      <c r="AD283" s="124"/>
      <c r="AE283" s="124"/>
      <c r="AF283" s="124">
        <f>10497.05462/1.12</f>
        <v>9372.3701964285719</v>
      </c>
      <c r="AG283" s="123">
        <f t="shared" si="163"/>
        <v>10497.054620000001</v>
      </c>
      <c r="AH283" s="124"/>
      <c r="AI283" s="123"/>
      <c r="AJ283" s="123">
        <f>AI283*1.12</f>
        <v>0</v>
      </c>
      <c r="AK283" s="123"/>
      <c r="AL283" s="126" t="str">
        <f t="shared" si="124"/>
        <v/>
      </c>
      <c r="AM283" s="127">
        <f>AF283</f>
        <v>9372.3701964285719</v>
      </c>
      <c r="AN283" s="127"/>
      <c r="AO283" s="127"/>
      <c r="AP283" s="123">
        <f>AF283</f>
        <v>9372.3701964285719</v>
      </c>
      <c r="AQ283" s="123">
        <f t="shared" si="164"/>
        <v>10497.054620000001</v>
      </c>
      <c r="AR283" s="123"/>
      <c r="AS283" s="123"/>
      <c r="AT283" s="123"/>
      <c r="AU283" s="123"/>
      <c r="AV283" s="123"/>
      <c r="AW283" s="123"/>
      <c r="AX283" s="123"/>
      <c r="AY283" s="123"/>
      <c r="AZ283" s="123"/>
      <c r="BA283" s="123"/>
      <c r="BB283" s="123"/>
      <c r="BC283" s="123"/>
      <c r="BD283" s="123"/>
      <c r="BE283" s="123"/>
      <c r="BF283" s="123"/>
      <c r="BG283" s="106"/>
      <c r="BH283" s="106"/>
      <c r="BI283" s="106"/>
      <c r="BJ283" s="106"/>
      <c r="BK283" s="106"/>
      <c r="BL283" s="106"/>
      <c r="BM283" s="106"/>
      <c r="BN283" s="106"/>
      <c r="BQ283" s="29"/>
      <c r="BR283" s="107"/>
      <c r="BS283" s="106"/>
    </row>
    <row r="284" spans="1:71" x14ac:dyDescent="0.35">
      <c r="A284" s="439"/>
      <c r="B284" s="437"/>
      <c r="C284" s="129" t="s">
        <v>74</v>
      </c>
      <c r="D284" s="129" t="s">
        <v>76</v>
      </c>
      <c r="E284" s="187"/>
      <c r="F284" s="187"/>
      <c r="G284" s="495"/>
      <c r="H284" s="498"/>
      <c r="I284" s="191"/>
      <c r="J284" s="191"/>
      <c r="K284" s="463"/>
      <c r="L284" s="501"/>
      <c r="M284" s="459"/>
      <c r="N284" s="132">
        <f t="shared" si="159"/>
        <v>9944574.1071428563</v>
      </c>
      <c r="O284" s="132">
        <f t="shared" si="159"/>
        <v>11137923</v>
      </c>
      <c r="P284" s="132">
        <f t="shared" si="160"/>
        <v>9944574.1071428563</v>
      </c>
      <c r="Q284" s="132">
        <f>Q283</f>
        <v>11137923</v>
      </c>
      <c r="R284" s="454"/>
      <c r="S284" s="448"/>
      <c r="T284" s="131"/>
      <c r="U284" s="131"/>
      <c r="V284" s="131"/>
      <c r="W284" s="131">
        <f>W283</f>
        <v>0</v>
      </c>
      <c r="X284" s="130">
        <f t="shared" si="161"/>
        <v>0</v>
      </c>
      <c r="Y284" s="131"/>
      <c r="Z284" s="131">
        <f t="shared" si="162"/>
        <v>0</v>
      </c>
      <c r="AA284" s="131">
        <f t="shared" si="162"/>
        <v>0</v>
      </c>
      <c r="AB284" s="131"/>
      <c r="AC284" s="131"/>
      <c r="AD284" s="131"/>
      <c r="AE284" s="131"/>
      <c r="AF284" s="131">
        <f>AF283</f>
        <v>9372.3701964285719</v>
      </c>
      <c r="AG284" s="130">
        <f t="shared" si="163"/>
        <v>10497.054620000001</v>
      </c>
      <c r="AH284" s="131"/>
      <c r="AI284" s="130">
        <f>AI283</f>
        <v>0</v>
      </c>
      <c r="AJ284" s="130">
        <f>AJ283</f>
        <v>0</v>
      </c>
      <c r="AK284" s="130"/>
      <c r="AL284" s="133" t="str">
        <f t="shared" si="124"/>
        <v/>
      </c>
      <c r="AM284" s="134">
        <f>AF284</f>
        <v>9372.3701964285719</v>
      </c>
      <c r="AN284" s="134"/>
      <c r="AO284" s="134"/>
      <c r="AP284" s="130">
        <f>AF284</f>
        <v>9372.3701964285719</v>
      </c>
      <c r="AQ284" s="130">
        <f t="shared" si="164"/>
        <v>10497.054620000001</v>
      </c>
      <c r="AR284" s="130"/>
      <c r="AS284" s="130"/>
      <c r="AT284" s="130"/>
      <c r="AU284" s="130"/>
      <c r="AV284" s="130"/>
      <c r="AW284" s="130"/>
      <c r="AX284" s="130"/>
      <c r="AY284" s="130"/>
      <c r="AZ284" s="130"/>
      <c r="BA284" s="130"/>
      <c r="BB284" s="130"/>
      <c r="BC284" s="130"/>
      <c r="BD284" s="130"/>
      <c r="BE284" s="130"/>
      <c r="BF284" s="130"/>
      <c r="BG284" s="31"/>
      <c r="BH284" s="31"/>
      <c r="BI284" s="31"/>
      <c r="BJ284" s="31"/>
      <c r="BK284" s="31"/>
      <c r="BL284" s="31"/>
      <c r="BM284" s="31"/>
      <c r="BN284" s="31"/>
      <c r="BQ284" s="27"/>
      <c r="BR284" s="28"/>
      <c r="BS284" s="31"/>
    </row>
    <row r="285" spans="1:71" s="212" customFormat="1" x14ac:dyDescent="0.35">
      <c r="A285" s="438"/>
      <c r="B285" s="436" t="s">
        <v>164</v>
      </c>
      <c r="C285" s="202"/>
      <c r="D285" s="202"/>
      <c r="E285" s="203">
        <f>E287+E290+E305</f>
        <v>0</v>
      </c>
      <c r="F285" s="203">
        <f>F287+F290+F305</f>
        <v>0</v>
      </c>
      <c r="G285" s="204"/>
      <c r="H285" s="203">
        <f>H287+H290+H305</f>
        <v>0</v>
      </c>
      <c r="I285" s="203">
        <f>I287+I290+I305</f>
        <v>0</v>
      </c>
      <c r="J285" s="203">
        <f>J287+J290+J305</f>
        <v>0</v>
      </c>
      <c r="K285" s="486" t="s">
        <v>165</v>
      </c>
      <c r="L285" s="487"/>
      <c r="M285" s="500" t="s">
        <v>113</v>
      </c>
      <c r="N285" s="205">
        <f t="shared" ref="N285:Q286" si="165">N287+N290+N305+N293+N296+N299+N302</f>
        <v>428105160</v>
      </c>
      <c r="O285" s="205">
        <f t="shared" si="165"/>
        <v>479477779.20000005</v>
      </c>
      <c r="P285" s="205">
        <f t="shared" si="165"/>
        <v>428105160</v>
      </c>
      <c r="Q285" s="205">
        <f t="shared" si="165"/>
        <v>479477779.20000005</v>
      </c>
      <c r="R285" s="206"/>
      <c r="S285" s="492">
        <f t="shared" ref="S285:AK285" si="166">S287+S290+S305+S293+S296+S299+S302</f>
        <v>150</v>
      </c>
      <c r="T285" s="203">
        <f t="shared" si="166"/>
        <v>0</v>
      </c>
      <c r="U285" s="203">
        <f t="shared" si="166"/>
        <v>0</v>
      </c>
      <c r="V285" s="203">
        <f t="shared" si="166"/>
        <v>0</v>
      </c>
      <c r="W285" s="203">
        <f t="shared" si="166"/>
        <v>0</v>
      </c>
      <c r="X285" s="203">
        <f t="shared" si="166"/>
        <v>0</v>
      </c>
      <c r="Y285" s="203">
        <f t="shared" si="166"/>
        <v>0</v>
      </c>
      <c r="Z285" s="203">
        <f t="shared" si="166"/>
        <v>0</v>
      </c>
      <c r="AA285" s="203">
        <f t="shared" si="166"/>
        <v>0</v>
      </c>
      <c r="AB285" s="203">
        <f t="shared" si="166"/>
        <v>0</v>
      </c>
      <c r="AC285" s="203">
        <f t="shared" si="166"/>
        <v>0</v>
      </c>
      <c r="AD285" s="203">
        <f t="shared" si="166"/>
        <v>0</v>
      </c>
      <c r="AE285" s="203">
        <f t="shared" si="166"/>
        <v>0</v>
      </c>
      <c r="AF285" s="203">
        <f t="shared" si="166"/>
        <v>0</v>
      </c>
      <c r="AG285" s="203">
        <f t="shared" si="166"/>
        <v>0</v>
      </c>
      <c r="AH285" s="203">
        <f t="shared" si="166"/>
        <v>0</v>
      </c>
      <c r="AI285" s="203">
        <f t="shared" si="166"/>
        <v>0</v>
      </c>
      <c r="AJ285" s="203">
        <f t="shared" si="166"/>
        <v>0</v>
      </c>
      <c r="AK285" s="203">
        <f t="shared" si="166"/>
        <v>0</v>
      </c>
      <c r="AL285" s="208" t="str">
        <f t="shared" ref="AL285:AL348" si="167">IF(AC285=0,"",AF285/AC285)</f>
        <v/>
      </c>
      <c r="AM285" s="203">
        <f>AM287+AM290+AM305+AM293+AM296+AM299+AM302</f>
        <v>0</v>
      </c>
      <c r="AN285" s="203">
        <f t="shared" ref="AN285:BF286" si="168">AN287+AN290+AN305+AN293+AN296+AN299+AN302</f>
        <v>0</v>
      </c>
      <c r="AO285" s="203">
        <f t="shared" si="168"/>
        <v>0</v>
      </c>
      <c r="AP285" s="203">
        <f t="shared" si="168"/>
        <v>0</v>
      </c>
      <c r="AQ285" s="203">
        <f t="shared" si="168"/>
        <v>0</v>
      </c>
      <c r="AR285" s="203">
        <f t="shared" si="168"/>
        <v>0</v>
      </c>
      <c r="AS285" s="203">
        <f t="shared" si="168"/>
        <v>0</v>
      </c>
      <c r="AT285" s="203">
        <f t="shared" si="168"/>
        <v>0</v>
      </c>
      <c r="AU285" s="203">
        <f t="shared" si="168"/>
        <v>0</v>
      </c>
      <c r="AV285" s="203">
        <f t="shared" si="168"/>
        <v>0</v>
      </c>
      <c r="AW285" s="203">
        <f t="shared" si="168"/>
        <v>0</v>
      </c>
      <c r="AX285" s="203">
        <f t="shared" si="168"/>
        <v>0</v>
      </c>
      <c r="AY285" s="203">
        <f t="shared" si="168"/>
        <v>0</v>
      </c>
      <c r="AZ285" s="203">
        <f t="shared" si="168"/>
        <v>0</v>
      </c>
      <c r="BA285" s="203">
        <f t="shared" si="168"/>
        <v>0</v>
      </c>
      <c r="BB285" s="203">
        <f t="shared" si="168"/>
        <v>0</v>
      </c>
      <c r="BC285" s="203">
        <f t="shared" si="168"/>
        <v>0</v>
      </c>
      <c r="BD285" s="203">
        <f t="shared" si="168"/>
        <v>0</v>
      </c>
      <c r="BE285" s="203">
        <f t="shared" si="168"/>
        <v>0</v>
      </c>
      <c r="BF285" s="203">
        <f t="shared" si="168"/>
        <v>0</v>
      </c>
      <c r="BG285" s="209" t="s">
        <v>84</v>
      </c>
      <c r="BH285" s="210"/>
      <c r="BI285" s="207">
        <f>BI287+BI290+BI555+BI560+BI564</f>
        <v>0</v>
      </c>
      <c r="BJ285" s="207">
        <f>BJ287+BJ290+BJ555+BJ560+BJ564</f>
        <v>0</v>
      </c>
      <c r="BK285" s="207">
        <f>BK287+BK290+BK555+BK560+BK564</f>
        <v>0</v>
      </c>
      <c r="BL285" s="211"/>
      <c r="BM285" s="211"/>
      <c r="BN285" s="210"/>
      <c r="BQ285" s="213"/>
      <c r="BR285" s="214"/>
      <c r="BS285" s="210"/>
    </row>
    <row r="286" spans="1:71" s="212" customFormat="1" x14ac:dyDescent="0.35">
      <c r="A286" s="499"/>
      <c r="B286" s="470"/>
      <c r="C286" s="202"/>
      <c r="D286" s="202"/>
      <c r="E286" s="203">
        <f>E288+E291+E306</f>
        <v>0</v>
      </c>
      <c r="F286" s="203">
        <f>F288+F291+F306</f>
        <v>0</v>
      </c>
      <c r="G286" s="204"/>
      <c r="H286" s="203"/>
      <c r="I286" s="203">
        <f>I288+I291+I306</f>
        <v>0</v>
      </c>
      <c r="J286" s="203">
        <f>J288+J291+J306</f>
        <v>0</v>
      </c>
      <c r="K286" s="488"/>
      <c r="L286" s="489"/>
      <c r="M286" s="500"/>
      <c r="N286" s="205">
        <f t="shared" si="165"/>
        <v>428105160</v>
      </c>
      <c r="O286" s="205">
        <f t="shared" si="165"/>
        <v>479477779.20000005</v>
      </c>
      <c r="P286" s="205">
        <f t="shared" si="165"/>
        <v>428105160</v>
      </c>
      <c r="Q286" s="205">
        <f t="shared" si="165"/>
        <v>479477779.20000005</v>
      </c>
      <c r="R286" s="206"/>
      <c r="S286" s="492"/>
      <c r="T286" s="203">
        <f>T288+T291+T306+T294+T297+T300+T303</f>
        <v>0</v>
      </c>
      <c r="U286" s="203">
        <f>U288+U291+U306+U294+U297+U300+U303</f>
        <v>0</v>
      </c>
      <c r="V286" s="216"/>
      <c r="W286" s="203">
        <f>W288+W291+W306+W294+W297+W300+W303</f>
        <v>0</v>
      </c>
      <c r="X286" s="203">
        <f>X288+X291+X306+X294+X297+X300+X303</f>
        <v>0</v>
      </c>
      <c r="Y286" s="216"/>
      <c r="Z286" s="203">
        <f>Z288+Z291+Z306+Z294+Z297+Z300+Z303</f>
        <v>0</v>
      </c>
      <c r="AA286" s="203">
        <f>AA288+AA291+AA306+AA294+AA297+AA300+AA303</f>
        <v>0</v>
      </c>
      <c r="AB286" s="216"/>
      <c r="AC286" s="203">
        <f>AC288+AC291+AC306+AC294+AC297+AC300+AC303</f>
        <v>0</v>
      </c>
      <c r="AD286" s="203">
        <f>AD288+AD291+AD306+AD294+AD297+AD300+AD303</f>
        <v>0</v>
      </c>
      <c r="AE286" s="216"/>
      <c r="AF286" s="203">
        <f>AF288+AF291+AF306+AF294+AF297+AF300+AF303</f>
        <v>0</v>
      </c>
      <c r="AG286" s="203">
        <f>AG288+AG291+AG306+AG294+AG297+AG300+AG303</f>
        <v>0</v>
      </c>
      <c r="AH286" s="216"/>
      <c r="AI286" s="203">
        <f>AI288+AI291+AI306+AI294+AI297+AI300+AI303</f>
        <v>0</v>
      </c>
      <c r="AJ286" s="203">
        <f>AJ288+AJ291+AJ306+AJ294+AJ297+AJ300+AJ303</f>
        <v>0</v>
      </c>
      <c r="AK286" s="216"/>
      <c r="AL286" s="208" t="str">
        <f t="shared" si="167"/>
        <v/>
      </c>
      <c r="AM286" s="203">
        <f>AM288+AM291+AM306+AM294+AM297+AM300+AM303</f>
        <v>0</v>
      </c>
      <c r="AN286" s="203">
        <f t="shared" si="168"/>
        <v>0</v>
      </c>
      <c r="AO286" s="203">
        <f t="shared" si="168"/>
        <v>0</v>
      </c>
      <c r="AP286" s="203">
        <f t="shared" si="168"/>
        <v>0</v>
      </c>
      <c r="AQ286" s="203">
        <f t="shared" si="168"/>
        <v>0</v>
      </c>
      <c r="AR286" s="203">
        <f t="shared" si="168"/>
        <v>0</v>
      </c>
      <c r="AS286" s="203">
        <f t="shared" si="168"/>
        <v>0</v>
      </c>
      <c r="AT286" s="203">
        <f t="shared" si="168"/>
        <v>0</v>
      </c>
      <c r="AU286" s="203">
        <f t="shared" si="168"/>
        <v>0</v>
      </c>
      <c r="AV286" s="203">
        <f t="shared" si="168"/>
        <v>0</v>
      </c>
      <c r="AW286" s="203">
        <f t="shared" si="168"/>
        <v>0</v>
      </c>
      <c r="AX286" s="203">
        <f t="shared" si="168"/>
        <v>0</v>
      </c>
      <c r="AY286" s="203">
        <f t="shared" si="168"/>
        <v>0</v>
      </c>
      <c r="AZ286" s="203">
        <f t="shared" si="168"/>
        <v>0</v>
      </c>
      <c r="BA286" s="203">
        <f t="shared" si="168"/>
        <v>0</v>
      </c>
      <c r="BB286" s="203">
        <f t="shared" si="168"/>
        <v>0</v>
      </c>
      <c r="BC286" s="203">
        <f t="shared" si="168"/>
        <v>0</v>
      </c>
      <c r="BD286" s="203">
        <f t="shared" si="168"/>
        <v>0</v>
      </c>
      <c r="BE286" s="203">
        <f t="shared" si="168"/>
        <v>0</v>
      </c>
      <c r="BF286" s="203">
        <f t="shared" si="168"/>
        <v>0</v>
      </c>
      <c r="BG286" s="210"/>
      <c r="BH286" s="210"/>
      <c r="BI286" s="207">
        <f>BI288+BI291+BI549+BI552+BI555+BI558</f>
        <v>0</v>
      </c>
      <c r="BJ286" s="207">
        <f>BJ288+BJ291+BJ549+BJ552+BJ555+BJ558</f>
        <v>0</v>
      </c>
      <c r="BK286" s="207">
        <f>BK288+BK291+BK549+BK552+BK555+BK558</f>
        <v>0</v>
      </c>
      <c r="BL286" s="211"/>
      <c r="BM286" s="211"/>
      <c r="BN286" s="210"/>
      <c r="BQ286" s="213"/>
      <c r="BR286" s="214"/>
      <c r="BS286" s="210"/>
    </row>
    <row r="287" spans="1:71" s="227" customFormat="1" ht="21" customHeight="1" x14ac:dyDescent="0.35">
      <c r="A287" s="499"/>
      <c r="B287" s="470"/>
      <c r="C287" s="217" t="s">
        <v>72</v>
      </c>
      <c r="D287" s="217" t="s">
        <v>73</v>
      </c>
      <c r="E287" s="218">
        <f>I287</f>
        <v>0</v>
      </c>
      <c r="F287" s="218">
        <f>E287*1.12</f>
        <v>0</v>
      </c>
      <c r="G287" s="493">
        <v>2020</v>
      </c>
      <c r="H287" s="496"/>
      <c r="I287" s="219"/>
      <c r="J287" s="219">
        <f>I287*1.12</f>
        <v>0</v>
      </c>
      <c r="K287" s="476" t="s">
        <v>166</v>
      </c>
      <c r="L287" s="454" t="s">
        <v>167</v>
      </c>
      <c r="M287" s="459" t="s">
        <v>113</v>
      </c>
      <c r="N287" s="220">
        <f t="shared" ref="N287:O307" si="169">P287</f>
        <v>428105160</v>
      </c>
      <c r="O287" s="220">
        <f t="shared" si="169"/>
        <v>479477779.20000005</v>
      </c>
      <c r="P287" s="220">
        <v>428105160</v>
      </c>
      <c r="Q287" s="220">
        <f>P287*1.12</f>
        <v>479477779.20000005</v>
      </c>
      <c r="R287" s="454" t="s">
        <v>106</v>
      </c>
      <c r="S287" s="448">
        <v>150</v>
      </c>
      <c r="T287" s="221"/>
      <c r="U287" s="221"/>
      <c r="V287" s="221"/>
      <c r="W287" s="221"/>
      <c r="X287" s="222">
        <f t="shared" ref="X287:X307" si="170">W287*1.12</f>
        <v>0</v>
      </c>
      <c r="Y287" s="221"/>
      <c r="Z287" s="221">
        <f t="shared" ref="Z287:AB307" si="171">T287+W287</f>
        <v>0</v>
      </c>
      <c r="AA287" s="221">
        <f t="shared" si="171"/>
        <v>0</v>
      </c>
      <c r="AB287" s="221">
        <f t="shared" si="171"/>
        <v>0</v>
      </c>
      <c r="AC287" s="221"/>
      <c r="AD287" s="221">
        <f>AC287*1.12</f>
        <v>0</v>
      </c>
      <c r="AE287" s="221"/>
      <c r="AF287" s="221"/>
      <c r="AG287" s="222">
        <f t="shared" ref="AG287:AG307" si="172">AF287*1.12</f>
        <v>0</v>
      </c>
      <c r="AH287" s="221"/>
      <c r="AI287" s="222"/>
      <c r="AJ287" s="222">
        <f>AI287*1.12</f>
        <v>0</v>
      </c>
      <c r="AK287" s="218">
        <f>AH287-AE287</f>
        <v>0</v>
      </c>
      <c r="AL287" s="223" t="str">
        <f t="shared" si="167"/>
        <v/>
      </c>
      <c r="AM287" s="224"/>
      <c r="AN287" s="224"/>
      <c r="AO287" s="224"/>
      <c r="AP287" s="222"/>
      <c r="AQ287" s="222">
        <f t="shared" ref="AQ287:AQ307" si="173">AP287*1.12</f>
        <v>0</v>
      </c>
      <c r="AR287" s="222"/>
      <c r="AS287" s="225"/>
      <c r="AT287" s="222"/>
      <c r="AU287" s="222"/>
      <c r="AV287" s="222"/>
      <c r="AW287" s="222"/>
      <c r="AX287" s="222"/>
      <c r="AY287" s="222"/>
      <c r="AZ287" s="218"/>
      <c r="BA287" s="222"/>
      <c r="BB287" s="222"/>
      <c r="BC287" s="222"/>
      <c r="BD287" s="222"/>
      <c r="BE287" s="222"/>
      <c r="BF287" s="225"/>
      <c r="BG287" s="226"/>
      <c r="BH287" s="226"/>
      <c r="BI287" s="226"/>
      <c r="BJ287" s="226"/>
      <c r="BK287" s="226"/>
      <c r="BL287" s="226"/>
      <c r="BM287" s="226"/>
      <c r="BN287" s="226"/>
      <c r="BQ287" s="228"/>
      <c r="BR287" s="229"/>
      <c r="BS287" s="226" t="e">
        <f>AF287-$AC$264/$AE$264*AH287</f>
        <v>#DIV/0!</v>
      </c>
    </row>
    <row r="288" spans="1:71" s="103" customFormat="1" ht="21" customHeight="1" x14ac:dyDescent="0.35">
      <c r="A288" s="499"/>
      <c r="B288" s="470"/>
      <c r="C288" s="122" t="s">
        <v>74</v>
      </c>
      <c r="D288" s="122" t="s">
        <v>75</v>
      </c>
      <c r="E288" s="185">
        <f>E287</f>
        <v>0</v>
      </c>
      <c r="F288" s="185">
        <f>E288*1.12</f>
        <v>0</v>
      </c>
      <c r="G288" s="494"/>
      <c r="H288" s="497"/>
      <c r="I288" s="189">
        <f>I287</f>
        <v>0</v>
      </c>
      <c r="J288" s="189">
        <f>I288*1.12</f>
        <v>0</v>
      </c>
      <c r="K288" s="476"/>
      <c r="L288" s="454"/>
      <c r="M288" s="459"/>
      <c r="N288" s="125">
        <f t="shared" si="169"/>
        <v>428105160</v>
      </c>
      <c r="O288" s="125">
        <f t="shared" si="169"/>
        <v>479477779.20000005</v>
      </c>
      <c r="P288" s="125">
        <f t="shared" ref="P288:P307" si="174">Q288/1.12</f>
        <v>428105160</v>
      </c>
      <c r="Q288" s="125">
        <f>Q287</f>
        <v>479477779.20000005</v>
      </c>
      <c r="R288" s="454"/>
      <c r="S288" s="448"/>
      <c r="T288" s="124"/>
      <c r="U288" s="124"/>
      <c r="V288" s="124"/>
      <c r="W288" s="124"/>
      <c r="X288" s="123">
        <f t="shared" si="170"/>
        <v>0</v>
      </c>
      <c r="Y288" s="124"/>
      <c r="Z288" s="124">
        <f t="shared" si="171"/>
        <v>0</v>
      </c>
      <c r="AA288" s="124">
        <f t="shared" si="171"/>
        <v>0</v>
      </c>
      <c r="AB288" s="124"/>
      <c r="AC288" s="124"/>
      <c r="AD288" s="124">
        <f>AC288*1.12</f>
        <v>0</v>
      </c>
      <c r="AE288" s="124"/>
      <c r="AF288" s="124"/>
      <c r="AG288" s="123">
        <f t="shared" si="172"/>
        <v>0</v>
      </c>
      <c r="AH288" s="124"/>
      <c r="AI288" s="123"/>
      <c r="AJ288" s="123">
        <f>AI288*1.12</f>
        <v>0</v>
      </c>
      <c r="AK288" s="123"/>
      <c r="AL288" s="126" t="str">
        <f t="shared" si="167"/>
        <v/>
      </c>
      <c r="AM288" s="127"/>
      <c r="AN288" s="127">
        <f>AF288</f>
        <v>0</v>
      </c>
      <c r="AO288" s="127"/>
      <c r="AP288" s="123">
        <f>AF288</f>
        <v>0</v>
      </c>
      <c r="AQ288" s="123">
        <f t="shared" si="173"/>
        <v>0</v>
      </c>
      <c r="AR288" s="123"/>
      <c r="AS288" s="123"/>
      <c r="AT288" s="123"/>
      <c r="AU288" s="123"/>
      <c r="AV288" s="123"/>
      <c r="AW288" s="123"/>
      <c r="AX288" s="123"/>
      <c r="AY288" s="123"/>
      <c r="AZ288" s="123"/>
      <c r="BA288" s="123"/>
      <c r="BB288" s="123"/>
      <c r="BC288" s="123"/>
      <c r="BD288" s="123"/>
      <c r="BE288" s="123"/>
      <c r="BF288" s="123"/>
      <c r="BG288" s="106"/>
      <c r="BH288" s="106"/>
      <c r="BI288" s="106"/>
      <c r="BJ288" s="106"/>
      <c r="BK288" s="106"/>
      <c r="BL288" s="106"/>
      <c r="BM288" s="106"/>
      <c r="BN288" s="106"/>
      <c r="BQ288" s="29"/>
      <c r="BR288" s="107"/>
      <c r="BS288" s="106"/>
    </row>
    <row r="289" spans="1:72" ht="21" customHeight="1" x14ac:dyDescent="0.35">
      <c r="A289" s="499"/>
      <c r="B289" s="470"/>
      <c r="C289" s="129" t="s">
        <v>74</v>
      </c>
      <c r="D289" s="129" t="s">
        <v>76</v>
      </c>
      <c r="E289" s="187">
        <f>E288</f>
        <v>0</v>
      </c>
      <c r="F289" s="187">
        <f>F288</f>
        <v>0</v>
      </c>
      <c r="G289" s="494"/>
      <c r="H289" s="497"/>
      <c r="I289" s="191">
        <f>I288</f>
        <v>0</v>
      </c>
      <c r="J289" s="191">
        <f>J288</f>
        <v>0</v>
      </c>
      <c r="K289" s="476"/>
      <c r="L289" s="454"/>
      <c r="M289" s="459"/>
      <c r="N289" s="132">
        <f t="shared" si="169"/>
        <v>428105160</v>
      </c>
      <c r="O289" s="132">
        <f t="shared" si="169"/>
        <v>479477779.20000005</v>
      </c>
      <c r="P289" s="132">
        <f t="shared" si="174"/>
        <v>428105160</v>
      </c>
      <c r="Q289" s="132">
        <f>Q288</f>
        <v>479477779.20000005</v>
      </c>
      <c r="R289" s="454"/>
      <c r="S289" s="448"/>
      <c r="T289" s="131"/>
      <c r="U289" s="131"/>
      <c r="V289" s="131"/>
      <c r="W289" s="131">
        <f>W288</f>
        <v>0</v>
      </c>
      <c r="X289" s="130">
        <f t="shared" si="170"/>
        <v>0</v>
      </c>
      <c r="Y289" s="131"/>
      <c r="Z289" s="131">
        <f t="shared" si="171"/>
        <v>0</v>
      </c>
      <c r="AA289" s="131">
        <f t="shared" si="171"/>
        <v>0</v>
      </c>
      <c r="AB289" s="131"/>
      <c r="AC289" s="131">
        <f>AC288</f>
        <v>0</v>
      </c>
      <c r="AD289" s="131">
        <f>AD288</f>
        <v>0</v>
      </c>
      <c r="AE289" s="131"/>
      <c r="AF289" s="131">
        <f>AF288</f>
        <v>0</v>
      </c>
      <c r="AG289" s="130">
        <f t="shared" si="172"/>
        <v>0</v>
      </c>
      <c r="AH289" s="131"/>
      <c r="AI289" s="130">
        <f>AI288</f>
        <v>0</v>
      </c>
      <c r="AJ289" s="130">
        <f>AJ288</f>
        <v>0</v>
      </c>
      <c r="AK289" s="130"/>
      <c r="AL289" s="133" t="str">
        <f t="shared" si="167"/>
        <v/>
      </c>
      <c r="AM289" s="134"/>
      <c r="AN289" s="134">
        <f>AF289</f>
        <v>0</v>
      </c>
      <c r="AO289" s="134"/>
      <c r="AP289" s="130">
        <f>AF289</f>
        <v>0</v>
      </c>
      <c r="AQ289" s="130">
        <f t="shared" si="173"/>
        <v>0</v>
      </c>
      <c r="AR289" s="130"/>
      <c r="AS289" s="130"/>
      <c r="AT289" s="130"/>
      <c r="AU289" s="130"/>
      <c r="AV289" s="130"/>
      <c r="AW289" s="130"/>
      <c r="AX289" s="130"/>
      <c r="AY289" s="130"/>
      <c r="AZ289" s="130"/>
      <c r="BA289" s="130"/>
      <c r="BB289" s="130"/>
      <c r="BC289" s="130"/>
      <c r="BD289" s="130"/>
      <c r="BE289" s="130"/>
      <c r="BF289" s="130"/>
      <c r="BG289" s="31"/>
      <c r="BH289" s="31"/>
      <c r="BI289" s="31"/>
      <c r="BJ289" s="31"/>
      <c r="BK289" s="31"/>
      <c r="BL289" s="31"/>
      <c r="BM289" s="31"/>
      <c r="BN289" s="31"/>
      <c r="BQ289" s="27"/>
      <c r="BR289" s="28"/>
      <c r="BS289" s="31"/>
    </row>
    <row r="290" spans="1:72" s="227" customFormat="1" hidden="1" outlineLevel="1" x14ac:dyDescent="0.35">
      <c r="A290" s="499"/>
      <c r="B290" s="470"/>
      <c r="C290" s="217" t="s">
        <v>72</v>
      </c>
      <c r="D290" s="217" t="s">
        <v>73</v>
      </c>
      <c r="E290" s="218"/>
      <c r="F290" s="218"/>
      <c r="G290" s="494"/>
      <c r="H290" s="497"/>
      <c r="I290" s="219"/>
      <c r="J290" s="219"/>
      <c r="K290" s="476"/>
      <c r="L290" s="454"/>
      <c r="M290" s="459" t="s">
        <v>113</v>
      </c>
      <c r="N290" s="220">
        <f t="shared" si="169"/>
        <v>0</v>
      </c>
      <c r="O290" s="220">
        <f t="shared" si="169"/>
        <v>0</v>
      </c>
      <c r="P290" s="220">
        <f t="shared" si="174"/>
        <v>0</v>
      </c>
      <c r="Q290" s="220"/>
      <c r="R290" s="454"/>
      <c r="S290" s="448"/>
      <c r="T290" s="221"/>
      <c r="U290" s="221"/>
      <c r="V290" s="221"/>
      <c r="W290" s="221"/>
      <c r="X290" s="222">
        <f t="shared" si="170"/>
        <v>0</v>
      </c>
      <c r="Y290" s="221"/>
      <c r="Z290" s="221">
        <f t="shared" si="171"/>
        <v>0</v>
      </c>
      <c r="AA290" s="221">
        <f t="shared" si="171"/>
        <v>0</v>
      </c>
      <c r="AB290" s="221">
        <f t="shared" si="171"/>
        <v>0</v>
      </c>
      <c r="AC290" s="221"/>
      <c r="AD290" s="221"/>
      <c r="AE290" s="221"/>
      <c r="AF290" s="221"/>
      <c r="AG290" s="222">
        <f t="shared" si="172"/>
        <v>0</v>
      </c>
      <c r="AH290" s="221"/>
      <c r="AI290" s="222"/>
      <c r="AJ290" s="222">
        <f>AI290*1.12</f>
        <v>0</v>
      </c>
      <c r="AK290" s="218">
        <f>AH290-AE290</f>
        <v>0</v>
      </c>
      <c r="AL290" s="223" t="str">
        <f t="shared" si="167"/>
        <v/>
      </c>
      <c r="AM290" s="224"/>
      <c r="AN290" s="224"/>
      <c r="AO290" s="224"/>
      <c r="AP290" s="222"/>
      <c r="AQ290" s="222">
        <f t="shared" si="173"/>
        <v>0</v>
      </c>
      <c r="AR290" s="222"/>
      <c r="AS290" s="222"/>
      <c r="AT290" s="222"/>
      <c r="AU290" s="222"/>
      <c r="AV290" s="222"/>
      <c r="AW290" s="222"/>
      <c r="AX290" s="222"/>
      <c r="AY290" s="222"/>
      <c r="AZ290" s="225"/>
      <c r="BA290" s="222"/>
      <c r="BB290" s="222"/>
      <c r="BC290" s="222"/>
      <c r="BD290" s="222"/>
      <c r="BE290" s="222"/>
      <c r="BF290" s="222"/>
      <c r="BG290" s="226"/>
      <c r="BH290" s="226"/>
      <c r="BI290" s="226"/>
      <c r="BJ290" s="226"/>
      <c r="BK290" s="226"/>
      <c r="BL290" s="226"/>
      <c r="BM290" s="226"/>
      <c r="BN290" s="226"/>
      <c r="BQ290" s="228"/>
      <c r="BR290" s="229"/>
      <c r="BS290" s="226" t="e">
        <f>AF290-$AC$264/$AE$264*AH290</f>
        <v>#DIV/0!</v>
      </c>
      <c r="BT290" s="227" t="e">
        <f>AK290*$AC$264/$AE$264</f>
        <v>#DIV/0!</v>
      </c>
    </row>
    <row r="291" spans="1:72" s="103" customFormat="1" hidden="1" outlineLevel="1" x14ac:dyDescent="0.35">
      <c r="A291" s="499"/>
      <c r="B291" s="470"/>
      <c r="C291" s="122" t="s">
        <v>74</v>
      </c>
      <c r="D291" s="122" t="s">
        <v>75</v>
      </c>
      <c r="E291" s="185"/>
      <c r="F291" s="185"/>
      <c r="G291" s="494"/>
      <c r="H291" s="497"/>
      <c r="I291" s="189"/>
      <c r="J291" s="189"/>
      <c r="K291" s="476"/>
      <c r="L291" s="454"/>
      <c r="M291" s="459"/>
      <c r="N291" s="125">
        <f t="shared" si="169"/>
        <v>0</v>
      </c>
      <c r="O291" s="125">
        <f t="shared" si="169"/>
        <v>0</v>
      </c>
      <c r="P291" s="125">
        <f t="shared" si="174"/>
        <v>0</v>
      </c>
      <c r="Q291" s="125">
        <f>Q290</f>
        <v>0</v>
      </c>
      <c r="R291" s="454"/>
      <c r="S291" s="448"/>
      <c r="T291" s="124"/>
      <c r="U291" s="124"/>
      <c r="V291" s="124"/>
      <c r="W291" s="124"/>
      <c r="X291" s="123">
        <f t="shared" si="170"/>
        <v>0</v>
      </c>
      <c r="Y291" s="124"/>
      <c r="Z291" s="124">
        <f t="shared" si="171"/>
        <v>0</v>
      </c>
      <c r="AA291" s="124">
        <f t="shared" si="171"/>
        <v>0</v>
      </c>
      <c r="AB291" s="124"/>
      <c r="AC291" s="124"/>
      <c r="AD291" s="124"/>
      <c r="AE291" s="124"/>
      <c r="AF291" s="124"/>
      <c r="AG291" s="123">
        <f t="shared" si="172"/>
        <v>0</v>
      </c>
      <c r="AH291" s="124"/>
      <c r="AI291" s="123"/>
      <c r="AJ291" s="123">
        <f>AI291*1.12</f>
        <v>0</v>
      </c>
      <c r="AK291" s="123"/>
      <c r="AL291" s="126" t="str">
        <f t="shared" si="167"/>
        <v/>
      </c>
      <c r="AM291" s="127"/>
      <c r="AN291" s="127">
        <f>AF291</f>
        <v>0</v>
      </c>
      <c r="AO291" s="127"/>
      <c r="AP291" s="123">
        <f>AF291</f>
        <v>0</v>
      </c>
      <c r="AQ291" s="123">
        <f t="shared" si="173"/>
        <v>0</v>
      </c>
      <c r="AR291" s="123"/>
      <c r="AS291" s="123"/>
      <c r="AT291" s="123"/>
      <c r="AU291" s="123"/>
      <c r="AV291" s="123"/>
      <c r="AW291" s="123"/>
      <c r="AX291" s="123"/>
      <c r="AY291" s="123"/>
      <c r="AZ291" s="123"/>
      <c r="BA291" s="123"/>
      <c r="BB291" s="123"/>
      <c r="BC291" s="123"/>
      <c r="BD291" s="123"/>
      <c r="BE291" s="123"/>
      <c r="BF291" s="123"/>
      <c r="BG291" s="106"/>
      <c r="BH291" s="106"/>
      <c r="BI291" s="106"/>
      <c r="BJ291" s="106"/>
      <c r="BK291" s="106"/>
      <c r="BL291" s="106"/>
      <c r="BM291" s="106"/>
      <c r="BN291" s="106"/>
      <c r="BQ291" s="29"/>
      <c r="BR291" s="107"/>
      <c r="BS291" s="106"/>
    </row>
    <row r="292" spans="1:72" ht="14.5" hidden="1" outlineLevel="1" x14ac:dyDescent="0.35">
      <c r="A292" s="499"/>
      <c r="B292" s="470"/>
      <c r="C292" s="129" t="s">
        <v>74</v>
      </c>
      <c r="D292" s="129" t="s">
        <v>76</v>
      </c>
      <c r="E292" s="187"/>
      <c r="F292" s="187"/>
      <c r="G292" s="494"/>
      <c r="H292" s="497"/>
      <c r="I292" s="191"/>
      <c r="J292" s="191"/>
      <c r="K292" s="476"/>
      <c r="L292" s="454"/>
      <c r="M292" s="459"/>
      <c r="N292" s="132">
        <f t="shared" si="169"/>
        <v>0</v>
      </c>
      <c r="O292" s="132">
        <f t="shared" si="169"/>
        <v>0</v>
      </c>
      <c r="P292" s="132">
        <f t="shared" si="174"/>
        <v>0</v>
      </c>
      <c r="Q292" s="132">
        <f>Q291</f>
        <v>0</v>
      </c>
      <c r="R292" s="454"/>
      <c r="S292" s="448"/>
      <c r="T292" s="131"/>
      <c r="U292" s="131"/>
      <c r="V292" s="131"/>
      <c r="W292" s="131">
        <f>W291</f>
        <v>0</v>
      </c>
      <c r="X292" s="130">
        <f t="shared" si="170"/>
        <v>0</v>
      </c>
      <c r="Y292" s="131"/>
      <c r="Z292" s="131">
        <f t="shared" si="171"/>
        <v>0</v>
      </c>
      <c r="AA292" s="131">
        <f t="shared" si="171"/>
        <v>0</v>
      </c>
      <c r="AB292" s="131"/>
      <c r="AC292" s="131"/>
      <c r="AD292" s="131"/>
      <c r="AE292" s="131"/>
      <c r="AF292" s="131">
        <f>AF291</f>
        <v>0</v>
      </c>
      <c r="AG292" s="130">
        <f t="shared" si="172"/>
        <v>0</v>
      </c>
      <c r="AH292" s="131"/>
      <c r="AI292" s="130">
        <f>AI291</f>
        <v>0</v>
      </c>
      <c r="AJ292" s="130">
        <f>AJ291</f>
        <v>0</v>
      </c>
      <c r="AK292" s="130"/>
      <c r="AL292" s="133" t="str">
        <f t="shared" si="167"/>
        <v/>
      </c>
      <c r="AM292" s="134"/>
      <c r="AN292" s="134">
        <f>AF292</f>
        <v>0</v>
      </c>
      <c r="AO292" s="134"/>
      <c r="AP292" s="130">
        <f>AF292</f>
        <v>0</v>
      </c>
      <c r="AQ292" s="130">
        <f t="shared" si="173"/>
        <v>0</v>
      </c>
      <c r="AR292" s="130"/>
      <c r="AS292" s="130"/>
      <c r="AT292" s="130"/>
      <c r="AU292" s="130"/>
      <c r="AV292" s="130"/>
      <c r="AW292" s="130"/>
      <c r="AX292" s="130"/>
      <c r="AY292" s="130"/>
      <c r="AZ292" s="130"/>
      <c r="BA292" s="130"/>
      <c r="BB292" s="130"/>
      <c r="BC292" s="130"/>
      <c r="BD292" s="130"/>
      <c r="BE292" s="130"/>
      <c r="BF292" s="130"/>
      <c r="BG292" s="31"/>
      <c r="BH292" s="31"/>
      <c r="BI292" s="31"/>
      <c r="BJ292" s="31"/>
      <c r="BK292" s="31"/>
      <c r="BL292" s="31"/>
      <c r="BM292" s="31"/>
      <c r="BN292" s="31"/>
      <c r="BQ292" s="27"/>
      <c r="BR292" s="28"/>
      <c r="BS292" s="31"/>
    </row>
    <row r="293" spans="1:72" s="227" customFormat="1" hidden="1" outlineLevel="1" x14ac:dyDescent="0.35">
      <c r="A293" s="499"/>
      <c r="B293" s="470"/>
      <c r="C293" s="217" t="s">
        <v>72</v>
      </c>
      <c r="D293" s="217" t="s">
        <v>73</v>
      </c>
      <c r="E293" s="218"/>
      <c r="F293" s="218"/>
      <c r="G293" s="494"/>
      <c r="H293" s="497"/>
      <c r="I293" s="219"/>
      <c r="J293" s="219"/>
      <c r="K293" s="476"/>
      <c r="L293" s="454"/>
      <c r="M293" s="459" t="s">
        <v>113</v>
      </c>
      <c r="N293" s="220">
        <f t="shared" si="169"/>
        <v>0</v>
      </c>
      <c r="O293" s="220">
        <f t="shared" si="169"/>
        <v>0</v>
      </c>
      <c r="P293" s="220">
        <f t="shared" si="174"/>
        <v>0</v>
      </c>
      <c r="Q293" s="220"/>
      <c r="R293" s="454"/>
      <c r="S293" s="448"/>
      <c r="T293" s="221"/>
      <c r="U293" s="221"/>
      <c r="V293" s="221"/>
      <c r="W293" s="221"/>
      <c r="X293" s="222">
        <f t="shared" si="170"/>
        <v>0</v>
      </c>
      <c r="Y293" s="221"/>
      <c r="Z293" s="221">
        <f t="shared" si="171"/>
        <v>0</v>
      </c>
      <c r="AA293" s="221">
        <f t="shared" si="171"/>
        <v>0</v>
      </c>
      <c r="AB293" s="221">
        <f t="shared" si="171"/>
        <v>0</v>
      </c>
      <c r="AC293" s="221"/>
      <c r="AD293" s="221"/>
      <c r="AE293" s="221"/>
      <c r="AF293" s="221"/>
      <c r="AG293" s="222">
        <f t="shared" si="172"/>
        <v>0</v>
      </c>
      <c r="AH293" s="221"/>
      <c r="AI293" s="222"/>
      <c r="AJ293" s="222">
        <f>AI293*1.12</f>
        <v>0</v>
      </c>
      <c r="AK293" s="218">
        <f>AH293-AE293</f>
        <v>0</v>
      </c>
      <c r="AL293" s="223" t="str">
        <f t="shared" si="167"/>
        <v/>
      </c>
      <c r="AM293" s="224"/>
      <c r="AN293" s="224"/>
      <c r="AO293" s="224"/>
      <c r="AP293" s="222"/>
      <c r="AQ293" s="222">
        <f t="shared" si="173"/>
        <v>0</v>
      </c>
      <c r="AR293" s="222"/>
      <c r="AS293" s="222"/>
      <c r="AT293" s="222"/>
      <c r="AU293" s="222"/>
      <c r="AV293" s="222"/>
      <c r="AW293" s="222"/>
      <c r="AX293" s="222"/>
      <c r="AY293" s="222"/>
      <c r="AZ293" s="218"/>
      <c r="BA293" s="222"/>
      <c r="BB293" s="222"/>
      <c r="BC293" s="222"/>
      <c r="BD293" s="222"/>
      <c r="BE293" s="222"/>
      <c r="BF293" s="222"/>
      <c r="BG293" s="226"/>
      <c r="BH293" s="226"/>
      <c r="BI293" s="226"/>
      <c r="BJ293" s="226"/>
      <c r="BK293" s="226"/>
      <c r="BL293" s="226"/>
      <c r="BM293" s="226"/>
      <c r="BN293" s="226"/>
      <c r="BQ293" s="228"/>
      <c r="BR293" s="229"/>
      <c r="BS293" s="226" t="e">
        <f>AF293-$AC$264/$AE$264*AH293</f>
        <v>#DIV/0!</v>
      </c>
    </row>
    <row r="294" spans="1:72" s="103" customFormat="1" hidden="1" outlineLevel="1" x14ac:dyDescent="0.35">
      <c r="A294" s="499"/>
      <c r="B294" s="470"/>
      <c r="C294" s="122" t="s">
        <v>74</v>
      </c>
      <c r="D294" s="122" t="s">
        <v>75</v>
      </c>
      <c r="E294" s="185"/>
      <c r="F294" s="185"/>
      <c r="G294" s="494"/>
      <c r="H294" s="497"/>
      <c r="I294" s="189"/>
      <c r="J294" s="189"/>
      <c r="K294" s="476"/>
      <c r="L294" s="454"/>
      <c r="M294" s="459"/>
      <c r="N294" s="125">
        <f t="shared" si="169"/>
        <v>0</v>
      </c>
      <c r="O294" s="125">
        <f t="shared" si="169"/>
        <v>0</v>
      </c>
      <c r="P294" s="125">
        <f t="shared" si="174"/>
        <v>0</v>
      </c>
      <c r="Q294" s="125">
        <f>Q293</f>
        <v>0</v>
      </c>
      <c r="R294" s="454"/>
      <c r="S294" s="448"/>
      <c r="T294" s="124"/>
      <c r="U294" s="124"/>
      <c r="V294" s="124"/>
      <c r="W294" s="124"/>
      <c r="X294" s="123">
        <f t="shared" si="170"/>
        <v>0</v>
      </c>
      <c r="Y294" s="124"/>
      <c r="Z294" s="124">
        <f t="shared" si="171"/>
        <v>0</v>
      </c>
      <c r="AA294" s="124">
        <f t="shared" si="171"/>
        <v>0</v>
      </c>
      <c r="AB294" s="124"/>
      <c r="AC294" s="124"/>
      <c r="AD294" s="124"/>
      <c r="AE294" s="124"/>
      <c r="AF294" s="124"/>
      <c r="AG294" s="123">
        <f t="shared" si="172"/>
        <v>0</v>
      </c>
      <c r="AH294" s="124"/>
      <c r="AI294" s="123"/>
      <c r="AJ294" s="123">
        <f>AI294*1.12</f>
        <v>0</v>
      </c>
      <c r="AK294" s="123"/>
      <c r="AL294" s="126" t="str">
        <f t="shared" si="167"/>
        <v/>
      </c>
      <c r="AM294" s="127"/>
      <c r="AN294" s="127">
        <f>AF294</f>
        <v>0</v>
      </c>
      <c r="AO294" s="127"/>
      <c r="AP294" s="123">
        <f>AF294</f>
        <v>0</v>
      </c>
      <c r="AQ294" s="123">
        <f t="shared" si="173"/>
        <v>0</v>
      </c>
      <c r="AR294" s="123"/>
      <c r="AS294" s="123"/>
      <c r="AT294" s="123"/>
      <c r="AU294" s="123"/>
      <c r="AV294" s="123"/>
      <c r="AW294" s="123"/>
      <c r="AX294" s="123"/>
      <c r="AY294" s="123"/>
      <c r="AZ294" s="123"/>
      <c r="BA294" s="123"/>
      <c r="BB294" s="123"/>
      <c r="BC294" s="123"/>
      <c r="BD294" s="123"/>
      <c r="BE294" s="123"/>
      <c r="BF294" s="123"/>
      <c r="BG294" s="106"/>
      <c r="BH294" s="106"/>
      <c r="BI294" s="106"/>
      <c r="BJ294" s="106"/>
      <c r="BK294" s="106"/>
      <c r="BL294" s="106"/>
      <c r="BM294" s="106"/>
      <c r="BN294" s="106"/>
      <c r="BQ294" s="29"/>
      <c r="BR294" s="107"/>
      <c r="BS294" s="106"/>
    </row>
    <row r="295" spans="1:72" ht="14.5" hidden="1" outlineLevel="1" x14ac:dyDescent="0.35">
      <c r="A295" s="499"/>
      <c r="B295" s="470"/>
      <c r="C295" s="129" t="s">
        <v>74</v>
      </c>
      <c r="D295" s="129" t="s">
        <v>76</v>
      </c>
      <c r="E295" s="187"/>
      <c r="F295" s="187"/>
      <c r="G295" s="494"/>
      <c r="H295" s="497"/>
      <c r="I295" s="191"/>
      <c r="J295" s="191"/>
      <c r="K295" s="476"/>
      <c r="L295" s="454"/>
      <c r="M295" s="459"/>
      <c r="N295" s="132">
        <f t="shared" si="169"/>
        <v>0</v>
      </c>
      <c r="O295" s="132">
        <f t="shared" si="169"/>
        <v>0</v>
      </c>
      <c r="P295" s="132">
        <f t="shared" si="174"/>
        <v>0</v>
      </c>
      <c r="Q295" s="132">
        <f>Q294</f>
        <v>0</v>
      </c>
      <c r="R295" s="454"/>
      <c r="S295" s="448"/>
      <c r="T295" s="131"/>
      <c r="U295" s="131"/>
      <c r="V295" s="131"/>
      <c r="W295" s="131">
        <f>W294</f>
        <v>0</v>
      </c>
      <c r="X295" s="130">
        <f t="shared" si="170"/>
        <v>0</v>
      </c>
      <c r="Y295" s="131"/>
      <c r="Z295" s="131">
        <f t="shared" si="171"/>
        <v>0</v>
      </c>
      <c r="AA295" s="131">
        <f t="shared" si="171"/>
        <v>0</v>
      </c>
      <c r="AB295" s="131"/>
      <c r="AC295" s="131"/>
      <c r="AD295" s="131"/>
      <c r="AE295" s="131"/>
      <c r="AF295" s="131">
        <f>AF294</f>
        <v>0</v>
      </c>
      <c r="AG295" s="130">
        <f t="shared" si="172"/>
        <v>0</v>
      </c>
      <c r="AH295" s="131"/>
      <c r="AI295" s="130">
        <f>AI294</f>
        <v>0</v>
      </c>
      <c r="AJ295" s="130">
        <f>AJ294</f>
        <v>0</v>
      </c>
      <c r="AK295" s="130"/>
      <c r="AL295" s="133" t="str">
        <f t="shared" si="167"/>
        <v/>
      </c>
      <c r="AM295" s="134"/>
      <c r="AN295" s="134">
        <f>AF295</f>
        <v>0</v>
      </c>
      <c r="AO295" s="134"/>
      <c r="AP295" s="130">
        <f>AF295</f>
        <v>0</v>
      </c>
      <c r="AQ295" s="130">
        <f t="shared" si="173"/>
        <v>0</v>
      </c>
      <c r="AR295" s="130"/>
      <c r="AS295" s="130"/>
      <c r="AT295" s="130"/>
      <c r="AU295" s="130"/>
      <c r="AV295" s="130"/>
      <c r="AW295" s="130"/>
      <c r="AX295" s="130"/>
      <c r="AY295" s="130"/>
      <c r="AZ295" s="130"/>
      <c r="BA295" s="130"/>
      <c r="BB295" s="130"/>
      <c r="BC295" s="130"/>
      <c r="BD295" s="130"/>
      <c r="BE295" s="130"/>
      <c r="BF295" s="130"/>
      <c r="BG295" s="31"/>
      <c r="BH295" s="31"/>
      <c r="BI295" s="31"/>
      <c r="BJ295" s="31"/>
      <c r="BK295" s="31"/>
      <c r="BL295" s="31"/>
      <c r="BM295" s="31"/>
      <c r="BN295" s="31"/>
      <c r="BQ295" s="27"/>
      <c r="BR295" s="28"/>
      <c r="BS295" s="31"/>
    </row>
    <row r="296" spans="1:72" s="227" customFormat="1" hidden="1" outlineLevel="1" x14ac:dyDescent="0.35">
      <c r="A296" s="499"/>
      <c r="B296" s="470"/>
      <c r="C296" s="217" t="s">
        <v>72</v>
      </c>
      <c r="D296" s="217" t="s">
        <v>73</v>
      </c>
      <c r="E296" s="218"/>
      <c r="F296" s="218"/>
      <c r="G296" s="494"/>
      <c r="H296" s="497"/>
      <c r="I296" s="219"/>
      <c r="J296" s="219"/>
      <c r="K296" s="476"/>
      <c r="L296" s="454"/>
      <c r="M296" s="459" t="s">
        <v>113</v>
      </c>
      <c r="N296" s="220">
        <f t="shared" si="169"/>
        <v>0</v>
      </c>
      <c r="O296" s="220">
        <f t="shared" si="169"/>
        <v>0</v>
      </c>
      <c r="P296" s="220">
        <f t="shared" si="174"/>
        <v>0</v>
      </c>
      <c r="Q296" s="220"/>
      <c r="R296" s="454"/>
      <c r="S296" s="448"/>
      <c r="T296" s="221"/>
      <c r="U296" s="221"/>
      <c r="V296" s="221"/>
      <c r="W296" s="221"/>
      <c r="X296" s="222">
        <f t="shared" si="170"/>
        <v>0</v>
      </c>
      <c r="Y296" s="221"/>
      <c r="Z296" s="221">
        <f t="shared" si="171"/>
        <v>0</v>
      </c>
      <c r="AA296" s="221">
        <f t="shared" si="171"/>
        <v>0</v>
      </c>
      <c r="AB296" s="221">
        <f t="shared" si="171"/>
        <v>0</v>
      </c>
      <c r="AC296" s="221"/>
      <c r="AD296" s="221"/>
      <c r="AE296" s="221"/>
      <c r="AF296" s="221"/>
      <c r="AG296" s="222">
        <f t="shared" si="172"/>
        <v>0</v>
      </c>
      <c r="AH296" s="221"/>
      <c r="AI296" s="222"/>
      <c r="AJ296" s="222">
        <f>AI296*1.12</f>
        <v>0</v>
      </c>
      <c r="AK296" s="218">
        <f>AH296-AE296</f>
        <v>0</v>
      </c>
      <c r="AL296" s="223" t="str">
        <f t="shared" si="167"/>
        <v/>
      </c>
      <c r="AM296" s="224"/>
      <c r="AN296" s="224"/>
      <c r="AO296" s="224"/>
      <c r="AP296" s="222"/>
      <c r="AQ296" s="222">
        <f t="shared" si="173"/>
        <v>0</v>
      </c>
      <c r="AR296" s="222"/>
      <c r="AS296" s="222"/>
      <c r="AT296" s="222"/>
      <c r="AU296" s="222"/>
      <c r="AV296" s="222"/>
      <c r="AW296" s="222"/>
      <c r="AX296" s="222"/>
      <c r="AY296" s="222"/>
      <c r="AZ296" s="225"/>
      <c r="BA296" s="222"/>
      <c r="BB296" s="222"/>
      <c r="BC296" s="222"/>
      <c r="BD296" s="222"/>
      <c r="BE296" s="222"/>
      <c r="BF296" s="222"/>
      <c r="BG296" s="226"/>
      <c r="BH296" s="226"/>
      <c r="BI296" s="226"/>
      <c r="BJ296" s="226"/>
      <c r="BK296" s="226"/>
      <c r="BL296" s="226"/>
      <c r="BM296" s="226"/>
      <c r="BN296" s="226"/>
      <c r="BQ296" s="228"/>
      <c r="BR296" s="229"/>
      <c r="BS296" s="226" t="e">
        <f>AF296-$AC$264/$AE$264*AH296</f>
        <v>#DIV/0!</v>
      </c>
      <c r="BT296" s="227" t="e">
        <f>AK296*$AC$264/$AE$264</f>
        <v>#DIV/0!</v>
      </c>
    </row>
    <row r="297" spans="1:72" s="103" customFormat="1" hidden="1" outlineLevel="1" x14ac:dyDescent="0.35">
      <c r="A297" s="499"/>
      <c r="B297" s="470"/>
      <c r="C297" s="122" t="s">
        <v>74</v>
      </c>
      <c r="D297" s="122" t="s">
        <v>75</v>
      </c>
      <c r="E297" s="185"/>
      <c r="F297" s="185"/>
      <c r="G297" s="494"/>
      <c r="H297" s="497"/>
      <c r="I297" s="189"/>
      <c r="J297" s="189"/>
      <c r="K297" s="476"/>
      <c r="L297" s="454"/>
      <c r="M297" s="459"/>
      <c r="N297" s="125">
        <f t="shared" si="169"/>
        <v>0</v>
      </c>
      <c r="O297" s="125">
        <f t="shared" si="169"/>
        <v>0</v>
      </c>
      <c r="P297" s="125">
        <f t="shared" si="174"/>
        <v>0</v>
      </c>
      <c r="Q297" s="125">
        <f>Q296</f>
        <v>0</v>
      </c>
      <c r="R297" s="454"/>
      <c r="S297" s="448"/>
      <c r="T297" s="124"/>
      <c r="U297" s="124"/>
      <c r="V297" s="124"/>
      <c r="W297" s="124"/>
      <c r="X297" s="123">
        <f t="shared" si="170"/>
        <v>0</v>
      </c>
      <c r="Y297" s="124"/>
      <c r="Z297" s="124">
        <f t="shared" si="171"/>
        <v>0</v>
      </c>
      <c r="AA297" s="124">
        <f t="shared" si="171"/>
        <v>0</v>
      </c>
      <c r="AB297" s="124"/>
      <c r="AC297" s="124"/>
      <c r="AD297" s="124"/>
      <c r="AE297" s="124"/>
      <c r="AF297" s="124"/>
      <c r="AG297" s="123">
        <f t="shared" si="172"/>
        <v>0</v>
      </c>
      <c r="AH297" s="124"/>
      <c r="AI297" s="123"/>
      <c r="AJ297" s="123">
        <f>AI297*1.12</f>
        <v>0</v>
      </c>
      <c r="AK297" s="123"/>
      <c r="AL297" s="126" t="str">
        <f t="shared" si="167"/>
        <v/>
      </c>
      <c r="AM297" s="127"/>
      <c r="AN297" s="127">
        <f>AF297</f>
        <v>0</v>
      </c>
      <c r="AO297" s="127"/>
      <c r="AP297" s="123">
        <f>AF297</f>
        <v>0</v>
      </c>
      <c r="AQ297" s="123">
        <f t="shared" si="173"/>
        <v>0</v>
      </c>
      <c r="AR297" s="123"/>
      <c r="AS297" s="123"/>
      <c r="AT297" s="123"/>
      <c r="AU297" s="123"/>
      <c r="AV297" s="123"/>
      <c r="AW297" s="123"/>
      <c r="AX297" s="123"/>
      <c r="AY297" s="123"/>
      <c r="AZ297" s="123"/>
      <c r="BA297" s="123"/>
      <c r="BB297" s="123"/>
      <c r="BC297" s="123"/>
      <c r="BD297" s="123"/>
      <c r="BE297" s="123"/>
      <c r="BF297" s="123"/>
      <c r="BG297" s="106"/>
      <c r="BH297" s="106"/>
      <c r="BI297" s="106"/>
      <c r="BJ297" s="106"/>
      <c r="BK297" s="106"/>
      <c r="BL297" s="106"/>
      <c r="BM297" s="106"/>
      <c r="BN297" s="106"/>
      <c r="BQ297" s="29"/>
      <c r="BR297" s="107"/>
      <c r="BS297" s="106"/>
    </row>
    <row r="298" spans="1:72" ht="14.5" hidden="1" outlineLevel="1" x14ac:dyDescent="0.35">
      <c r="A298" s="499"/>
      <c r="B298" s="470"/>
      <c r="C298" s="129" t="s">
        <v>74</v>
      </c>
      <c r="D298" s="129" t="s">
        <v>76</v>
      </c>
      <c r="E298" s="187"/>
      <c r="F298" s="187"/>
      <c r="G298" s="494"/>
      <c r="H298" s="497"/>
      <c r="I298" s="191"/>
      <c r="J298" s="191"/>
      <c r="K298" s="476"/>
      <c r="L298" s="454"/>
      <c r="M298" s="459"/>
      <c r="N298" s="132">
        <f t="shared" si="169"/>
        <v>0</v>
      </c>
      <c r="O298" s="132">
        <f t="shared" si="169"/>
        <v>0</v>
      </c>
      <c r="P298" s="132">
        <f t="shared" si="174"/>
        <v>0</v>
      </c>
      <c r="Q298" s="132">
        <f>Q297</f>
        <v>0</v>
      </c>
      <c r="R298" s="454"/>
      <c r="S298" s="448"/>
      <c r="T298" s="131"/>
      <c r="U298" s="131"/>
      <c r="V298" s="131"/>
      <c r="W298" s="131">
        <f>W297</f>
        <v>0</v>
      </c>
      <c r="X298" s="130">
        <f t="shared" si="170"/>
        <v>0</v>
      </c>
      <c r="Y298" s="131"/>
      <c r="Z298" s="131">
        <f t="shared" si="171"/>
        <v>0</v>
      </c>
      <c r="AA298" s="131">
        <f t="shared" si="171"/>
        <v>0</v>
      </c>
      <c r="AB298" s="131"/>
      <c r="AC298" s="131"/>
      <c r="AD298" s="131"/>
      <c r="AE298" s="131"/>
      <c r="AF298" s="131">
        <f>AF297</f>
        <v>0</v>
      </c>
      <c r="AG298" s="130">
        <f t="shared" si="172"/>
        <v>0</v>
      </c>
      <c r="AH298" s="131"/>
      <c r="AI298" s="130">
        <f>AI297</f>
        <v>0</v>
      </c>
      <c r="AJ298" s="130">
        <f>AJ297</f>
        <v>0</v>
      </c>
      <c r="AK298" s="130"/>
      <c r="AL298" s="133" t="str">
        <f t="shared" si="167"/>
        <v/>
      </c>
      <c r="AM298" s="134"/>
      <c r="AN298" s="134">
        <f>AF298</f>
        <v>0</v>
      </c>
      <c r="AO298" s="134"/>
      <c r="AP298" s="130">
        <f>AF298</f>
        <v>0</v>
      </c>
      <c r="AQ298" s="130">
        <f t="shared" si="173"/>
        <v>0</v>
      </c>
      <c r="AR298" s="130"/>
      <c r="AS298" s="130"/>
      <c r="AT298" s="130"/>
      <c r="AU298" s="130"/>
      <c r="AV298" s="130"/>
      <c r="AW298" s="130"/>
      <c r="AX298" s="130"/>
      <c r="AY298" s="130"/>
      <c r="AZ298" s="130"/>
      <c r="BA298" s="130"/>
      <c r="BB298" s="130"/>
      <c r="BC298" s="130"/>
      <c r="BD298" s="130"/>
      <c r="BE298" s="130"/>
      <c r="BF298" s="130"/>
      <c r="BG298" s="31"/>
      <c r="BH298" s="31"/>
      <c r="BI298" s="31"/>
      <c r="BJ298" s="31"/>
      <c r="BK298" s="31"/>
      <c r="BL298" s="31"/>
      <c r="BM298" s="31"/>
      <c r="BN298" s="31"/>
      <c r="BQ298" s="27"/>
      <c r="BR298" s="28"/>
      <c r="BS298" s="31"/>
    </row>
    <row r="299" spans="1:72" s="227" customFormat="1" hidden="1" outlineLevel="1" x14ac:dyDescent="0.35">
      <c r="A299" s="499"/>
      <c r="B299" s="470"/>
      <c r="C299" s="217" t="s">
        <v>72</v>
      </c>
      <c r="D299" s="217" t="s">
        <v>73</v>
      </c>
      <c r="E299" s="218"/>
      <c r="F299" s="218"/>
      <c r="G299" s="494"/>
      <c r="H299" s="497"/>
      <c r="I299" s="219"/>
      <c r="J299" s="219"/>
      <c r="K299" s="476"/>
      <c r="L299" s="454"/>
      <c r="M299" s="459" t="s">
        <v>113</v>
      </c>
      <c r="N299" s="220">
        <f t="shared" si="169"/>
        <v>0</v>
      </c>
      <c r="O299" s="220">
        <f t="shared" si="169"/>
        <v>0</v>
      </c>
      <c r="P299" s="220">
        <f t="shared" si="174"/>
        <v>0</v>
      </c>
      <c r="Q299" s="220"/>
      <c r="R299" s="454"/>
      <c r="S299" s="448"/>
      <c r="T299" s="221"/>
      <c r="U299" s="221"/>
      <c r="V299" s="221"/>
      <c r="W299" s="221"/>
      <c r="X299" s="222">
        <f t="shared" si="170"/>
        <v>0</v>
      </c>
      <c r="Y299" s="221"/>
      <c r="Z299" s="221">
        <f t="shared" si="171"/>
        <v>0</v>
      </c>
      <c r="AA299" s="221">
        <f t="shared" si="171"/>
        <v>0</v>
      </c>
      <c r="AB299" s="221">
        <f t="shared" si="171"/>
        <v>0</v>
      </c>
      <c r="AC299" s="221"/>
      <c r="AD299" s="221"/>
      <c r="AE299" s="221"/>
      <c r="AF299" s="221"/>
      <c r="AG299" s="222">
        <f t="shared" si="172"/>
        <v>0</v>
      </c>
      <c r="AH299" s="221"/>
      <c r="AI299" s="222"/>
      <c r="AJ299" s="222">
        <f>AI299*1.12</f>
        <v>0</v>
      </c>
      <c r="AK299" s="218">
        <f>AH299-AE299</f>
        <v>0</v>
      </c>
      <c r="AL299" s="223" t="str">
        <f t="shared" si="167"/>
        <v/>
      </c>
      <c r="AM299" s="224"/>
      <c r="AN299" s="224"/>
      <c r="AO299" s="224"/>
      <c r="AP299" s="222"/>
      <c r="AQ299" s="222">
        <f t="shared" si="173"/>
        <v>0</v>
      </c>
      <c r="AR299" s="222"/>
      <c r="AS299" s="222"/>
      <c r="AT299" s="222"/>
      <c r="AU299" s="222"/>
      <c r="AV299" s="222"/>
      <c r="AW299" s="222"/>
      <c r="AX299" s="222"/>
      <c r="AY299" s="222"/>
      <c r="AZ299" s="225"/>
      <c r="BA299" s="222"/>
      <c r="BB299" s="222"/>
      <c r="BC299" s="222"/>
      <c r="BD299" s="222"/>
      <c r="BE299" s="222"/>
      <c r="BF299" s="222"/>
      <c r="BG299" s="226"/>
      <c r="BH299" s="226"/>
      <c r="BI299" s="226"/>
      <c r="BJ299" s="226"/>
      <c r="BK299" s="226"/>
      <c r="BL299" s="226"/>
      <c r="BM299" s="226"/>
      <c r="BN299" s="226"/>
      <c r="BQ299" s="228"/>
      <c r="BR299" s="229"/>
      <c r="BS299" s="226" t="e">
        <f>AF299-$AC$264/$AE$264*AH299</f>
        <v>#DIV/0!</v>
      </c>
    </row>
    <row r="300" spans="1:72" s="103" customFormat="1" hidden="1" outlineLevel="1" x14ac:dyDescent="0.35">
      <c r="A300" s="499"/>
      <c r="B300" s="470"/>
      <c r="C300" s="122" t="s">
        <v>74</v>
      </c>
      <c r="D300" s="122" t="s">
        <v>75</v>
      </c>
      <c r="E300" s="185"/>
      <c r="F300" s="185"/>
      <c r="G300" s="494"/>
      <c r="H300" s="497"/>
      <c r="I300" s="189"/>
      <c r="J300" s="189"/>
      <c r="K300" s="476"/>
      <c r="L300" s="454"/>
      <c r="M300" s="459"/>
      <c r="N300" s="125">
        <f t="shared" si="169"/>
        <v>0</v>
      </c>
      <c r="O300" s="125">
        <f t="shared" si="169"/>
        <v>0</v>
      </c>
      <c r="P300" s="125">
        <f t="shared" si="174"/>
        <v>0</v>
      </c>
      <c r="Q300" s="125">
        <f>Q299</f>
        <v>0</v>
      </c>
      <c r="R300" s="454"/>
      <c r="S300" s="448"/>
      <c r="T300" s="124"/>
      <c r="U300" s="124"/>
      <c r="V300" s="124"/>
      <c r="W300" s="124"/>
      <c r="X300" s="123">
        <f t="shared" si="170"/>
        <v>0</v>
      </c>
      <c r="Y300" s="124"/>
      <c r="Z300" s="124">
        <f t="shared" si="171"/>
        <v>0</v>
      </c>
      <c r="AA300" s="124">
        <f t="shared" si="171"/>
        <v>0</v>
      </c>
      <c r="AB300" s="124"/>
      <c r="AC300" s="124"/>
      <c r="AD300" s="124"/>
      <c r="AE300" s="124"/>
      <c r="AF300" s="124"/>
      <c r="AG300" s="123">
        <f t="shared" si="172"/>
        <v>0</v>
      </c>
      <c r="AH300" s="124"/>
      <c r="AI300" s="123"/>
      <c r="AJ300" s="123">
        <f>AI300*1.12</f>
        <v>0</v>
      </c>
      <c r="AK300" s="123"/>
      <c r="AL300" s="126" t="str">
        <f t="shared" si="167"/>
        <v/>
      </c>
      <c r="AM300" s="127"/>
      <c r="AN300" s="127">
        <f>AF300</f>
        <v>0</v>
      </c>
      <c r="AO300" s="127"/>
      <c r="AP300" s="123">
        <f>AF300</f>
        <v>0</v>
      </c>
      <c r="AQ300" s="123">
        <f t="shared" si="173"/>
        <v>0</v>
      </c>
      <c r="AR300" s="123"/>
      <c r="AS300" s="123"/>
      <c r="AT300" s="123"/>
      <c r="AU300" s="123"/>
      <c r="AV300" s="123"/>
      <c r="AW300" s="123"/>
      <c r="AX300" s="123"/>
      <c r="AY300" s="123"/>
      <c r="AZ300" s="123"/>
      <c r="BA300" s="123"/>
      <c r="BB300" s="123"/>
      <c r="BC300" s="123"/>
      <c r="BD300" s="123"/>
      <c r="BE300" s="123"/>
      <c r="BF300" s="123"/>
      <c r="BG300" s="106"/>
      <c r="BH300" s="106"/>
      <c r="BI300" s="106"/>
      <c r="BJ300" s="106"/>
      <c r="BK300" s="106"/>
      <c r="BL300" s="106"/>
      <c r="BM300" s="106"/>
      <c r="BN300" s="106"/>
      <c r="BQ300" s="29"/>
      <c r="BR300" s="107"/>
      <c r="BS300" s="106"/>
    </row>
    <row r="301" spans="1:72" ht="14.5" hidden="1" outlineLevel="1" x14ac:dyDescent="0.35">
      <c r="A301" s="499"/>
      <c r="B301" s="470"/>
      <c r="C301" s="129" t="s">
        <v>74</v>
      </c>
      <c r="D301" s="129" t="s">
        <v>76</v>
      </c>
      <c r="E301" s="187"/>
      <c r="F301" s="187"/>
      <c r="G301" s="494"/>
      <c r="H301" s="497"/>
      <c r="I301" s="191"/>
      <c r="J301" s="191"/>
      <c r="K301" s="476"/>
      <c r="L301" s="454"/>
      <c r="M301" s="459"/>
      <c r="N301" s="132">
        <f t="shared" si="169"/>
        <v>0</v>
      </c>
      <c r="O301" s="132">
        <f t="shared" si="169"/>
        <v>0</v>
      </c>
      <c r="P301" s="132">
        <f t="shared" si="174"/>
        <v>0</v>
      </c>
      <c r="Q301" s="132">
        <f>Q300</f>
        <v>0</v>
      </c>
      <c r="R301" s="454"/>
      <c r="S301" s="448"/>
      <c r="T301" s="131"/>
      <c r="U301" s="131"/>
      <c r="V301" s="131"/>
      <c r="W301" s="131">
        <f>W300</f>
        <v>0</v>
      </c>
      <c r="X301" s="130">
        <f t="shared" si="170"/>
        <v>0</v>
      </c>
      <c r="Y301" s="131"/>
      <c r="Z301" s="131">
        <f t="shared" si="171"/>
        <v>0</v>
      </c>
      <c r="AA301" s="131">
        <f t="shared" si="171"/>
        <v>0</v>
      </c>
      <c r="AB301" s="131"/>
      <c r="AC301" s="131"/>
      <c r="AD301" s="131"/>
      <c r="AE301" s="131"/>
      <c r="AF301" s="131">
        <f>AF300</f>
        <v>0</v>
      </c>
      <c r="AG301" s="130">
        <f t="shared" si="172"/>
        <v>0</v>
      </c>
      <c r="AH301" s="131"/>
      <c r="AI301" s="130">
        <f>AI300</f>
        <v>0</v>
      </c>
      <c r="AJ301" s="130">
        <f>AJ300</f>
        <v>0</v>
      </c>
      <c r="AK301" s="130"/>
      <c r="AL301" s="133" t="str">
        <f t="shared" si="167"/>
        <v/>
      </c>
      <c r="AM301" s="134"/>
      <c r="AN301" s="134">
        <f>AF301</f>
        <v>0</v>
      </c>
      <c r="AO301" s="134"/>
      <c r="AP301" s="130">
        <f>AF301</f>
        <v>0</v>
      </c>
      <c r="AQ301" s="130">
        <f t="shared" si="173"/>
        <v>0</v>
      </c>
      <c r="AR301" s="130"/>
      <c r="AS301" s="130"/>
      <c r="AT301" s="130"/>
      <c r="AU301" s="130"/>
      <c r="AV301" s="130"/>
      <c r="AW301" s="130"/>
      <c r="AX301" s="130"/>
      <c r="AY301" s="130"/>
      <c r="AZ301" s="130"/>
      <c r="BA301" s="130"/>
      <c r="BB301" s="130"/>
      <c r="BC301" s="130"/>
      <c r="BD301" s="130"/>
      <c r="BE301" s="130"/>
      <c r="BF301" s="130"/>
      <c r="BG301" s="31"/>
      <c r="BH301" s="31"/>
      <c r="BI301" s="31"/>
      <c r="BJ301" s="31"/>
      <c r="BK301" s="31"/>
      <c r="BL301" s="31"/>
      <c r="BM301" s="31"/>
      <c r="BN301" s="31"/>
      <c r="BQ301" s="27"/>
      <c r="BR301" s="28"/>
      <c r="BS301" s="31"/>
    </row>
    <row r="302" spans="1:72" s="227" customFormat="1" hidden="1" outlineLevel="1" x14ac:dyDescent="0.35">
      <c r="A302" s="499"/>
      <c r="B302" s="470"/>
      <c r="C302" s="217" t="s">
        <v>72</v>
      </c>
      <c r="D302" s="217" t="s">
        <v>73</v>
      </c>
      <c r="E302" s="218"/>
      <c r="F302" s="218"/>
      <c r="G302" s="494"/>
      <c r="H302" s="497"/>
      <c r="I302" s="219"/>
      <c r="J302" s="219"/>
      <c r="K302" s="476"/>
      <c r="L302" s="454"/>
      <c r="M302" s="459" t="s">
        <v>113</v>
      </c>
      <c r="N302" s="220">
        <f t="shared" si="169"/>
        <v>0</v>
      </c>
      <c r="O302" s="220">
        <f t="shared" si="169"/>
        <v>0</v>
      </c>
      <c r="P302" s="220">
        <f t="shared" si="174"/>
        <v>0</v>
      </c>
      <c r="Q302" s="220"/>
      <c r="R302" s="454"/>
      <c r="S302" s="448"/>
      <c r="T302" s="221"/>
      <c r="U302" s="221"/>
      <c r="V302" s="221"/>
      <c r="W302" s="221"/>
      <c r="X302" s="222">
        <f t="shared" si="170"/>
        <v>0</v>
      </c>
      <c r="Y302" s="221"/>
      <c r="Z302" s="221">
        <f t="shared" si="171"/>
        <v>0</v>
      </c>
      <c r="AA302" s="221">
        <f t="shared" si="171"/>
        <v>0</v>
      </c>
      <c r="AB302" s="221">
        <f t="shared" si="171"/>
        <v>0</v>
      </c>
      <c r="AC302" s="221"/>
      <c r="AD302" s="221"/>
      <c r="AE302" s="221"/>
      <c r="AF302" s="221"/>
      <c r="AG302" s="222">
        <f t="shared" si="172"/>
        <v>0</v>
      </c>
      <c r="AH302" s="221"/>
      <c r="AI302" s="222"/>
      <c r="AJ302" s="222">
        <f>AI302*1.12</f>
        <v>0</v>
      </c>
      <c r="AK302" s="218">
        <f>AH302-AE302</f>
        <v>0</v>
      </c>
      <c r="AL302" s="223" t="str">
        <f t="shared" si="167"/>
        <v/>
      </c>
      <c r="AM302" s="224"/>
      <c r="AN302" s="224"/>
      <c r="AO302" s="224"/>
      <c r="AP302" s="222"/>
      <c r="AQ302" s="222">
        <f t="shared" si="173"/>
        <v>0</v>
      </c>
      <c r="AR302" s="222"/>
      <c r="AS302" s="222"/>
      <c r="AT302" s="222"/>
      <c r="AU302" s="222"/>
      <c r="AV302" s="222"/>
      <c r="AW302" s="222"/>
      <c r="AX302" s="222"/>
      <c r="AY302" s="222"/>
      <c r="AZ302" s="225"/>
      <c r="BA302" s="222"/>
      <c r="BB302" s="222"/>
      <c r="BC302" s="222"/>
      <c r="BD302" s="222"/>
      <c r="BE302" s="222"/>
      <c r="BF302" s="222"/>
      <c r="BG302" s="226"/>
      <c r="BH302" s="226"/>
      <c r="BI302" s="226"/>
      <c r="BJ302" s="226"/>
      <c r="BK302" s="226"/>
      <c r="BL302" s="226"/>
      <c r="BM302" s="226"/>
      <c r="BN302" s="226"/>
      <c r="BQ302" s="228"/>
      <c r="BR302" s="229"/>
      <c r="BS302" s="226" t="e">
        <f>AF302-$AC$264/$AE$264*AH302</f>
        <v>#DIV/0!</v>
      </c>
      <c r="BT302" s="227" t="e">
        <f>AK302*$AC$264/$AE$264</f>
        <v>#DIV/0!</v>
      </c>
    </row>
    <row r="303" spans="1:72" s="103" customFormat="1" hidden="1" outlineLevel="1" x14ac:dyDescent="0.35">
      <c r="A303" s="499"/>
      <c r="B303" s="470"/>
      <c r="C303" s="122" t="s">
        <v>74</v>
      </c>
      <c r="D303" s="122" t="s">
        <v>75</v>
      </c>
      <c r="E303" s="185"/>
      <c r="F303" s="185"/>
      <c r="G303" s="494"/>
      <c r="H303" s="497"/>
      <c r="I303" s="189"/>
      <c r="J303" s="189"/>
      <c r="K303" s="476"/>
      <c r="L303" s="454"/>
      <c r="M303" s="459"/>
      <c r="N303" s="125">
        <f t="shared" si="169"/>
        <v>0</v>
      </c>
      <c r="O303" s="125">
        <f t="shared" si="169"/>
        <v>0</v>
      </c>
      <c r="P303" s="125">
        <f t="shared" si="174"/>
        <v>0</v>
      </c>
      <c r="Q303" s="125">
        <f>Q302</f>
        <v>0</v>
      </c>
      <c r="R303" s="454"/>
      <c r="S303" s="448"/>
      <c r="T303" s="124"/>
      <c r="U303" s="124"/>
      <c r="V303" s="124"/>
      <c r="W303" s="124"/>
      <c r="X303" s="123">
        <f t="shared" si="170"/>
        <v>0</v>
      </c>
      <c r="Y303" s="124"/>
      <c r="Z303" s="124">
        <f t="shared" si="171"/>
        <v>0</v>
      </c>
      <c r="AA303" s="124">
        <f t="shared" si="171"/>
        <v>0</v>
      </c>
      <c r="AB303" s="124"/>
      <c r="AC303" s="124"/>
      <c r="AD303" s="124"/>
      <c r="AE303" s="124"/>
      <c r="AF303" s="124"/>
      <c r="AG303" s="123">
        <f t="shared" si="172"/>
        <v>0</v>
      </c>
      <c r="AH303" s="124"/>
      <c r="AI303" s="123"/>
      <c r="AJ303" s="123">
        <f>AI303*1.12</f>
        <v>0</v>
      </c>
      <c r="AK303" s="123"/>
      <c r="AL303" s="126" t="str">
        <f t="shared" si="167"/>
        <v/>
      </c>
      <c r="AM303" s="127"/>
      <c r="AN303" s="127">
        <f>AF303</f>
        <v>0</v>
      </c>
      <c r="AO303" s="127"/>
      <c r="AP303" s="123">
        <f>AF303</f>
        <v>0</v>
      </c>
      <c r="AQ303" s="123">
        <f t="shared" si="173"/>
        <v>0</v>
      </c>
      <c r="AR303" s="123"/>
      <c r="AS303" s="123"/>
      <c r="AT303" s="123"/>
      <c r="AU303" s="123"/>
      <c r="AV303" s="123"/>
      <c r="AW303" s="123"/>
      <c r="AX303" s="123"/>
      <c r="AY303" s="123"/>
      <c r="AZ303" s="123"/>
      <c r="BA303" s="123"/>
      <c r="BB303" s="123"/>
      <c r="BC303" s="123"/>
      <c r="BD303" s="123"/>
      <c r="BE303" s="123"/>
      <c r="BF303" s="123"/>
      <c r="BG303" s="106"/>
      <c r="BH303" s="106"/>
      <c r="BI303" s="106"/>
      <c r="BJ303" s="106"/>
      <c r="BK303" s="106"/>
      <c r="BL303" s="106"/>
      <c r="BM303" s="106"/>
      <c r="BN303" s="106"/>
      <c r="BQ303" s="29"/>
      <c r="BR303" s="107"/>
      <c r="BS303" s="106"/>
    </row>
    <row r="304" spans="1:72" ht="14.5" hidden="1" outlineLevel="1" x14ac:dyDescent="0.35">
      <c r="A304" s="499"/>
      <c r="B304" s="470"/>
      <c r="C304" s="129" t="s">
        <v>74</v>
      </c>
      <c r="D304" s="129" t="s">
        <v>76</v>
      </c>
      <c r="E304" s="187"/>
      <c r="F304" s="187"/>
      <c r="G304" s="494"/>
      <c r="H304" s="497"/>
      <c r="I304" s="191"/>
      <c r="J304" s="191"/>
      <c r="K304" s="476"/>
      <c r="L304" s="454"/>
      <c r="M304" s="459"/>
      <c r="N304" s="132">
        <f t="shared" si="169"/>
        <v>0</v>
      </c>
      <c r="O304" s="132">
        <f t="shared" si="169"/>
        <v>0</v>
      </c>
      <c r="P304" s="132">
        <f t="shared" si="174"/>
        <v>0</v>
      </c>
      <c r="Q304" s="132">
        <f>Q303</f>
        <v>0</v>
      </c>
      <c r="R304" s="454"/>
      <c r="S304" s="448"/>
      <c r="T304" s="131"/>
      <c r="U304" s="131"/>
      <c r="V304" s="131"/>
      <c r="W304" s="131">
        <f>W303</f>
        <v>0</v>
      </c>
      <c r="X304" s="130">
        <f t="shared" si="170"/>
        <v>0</v>
      </c>
      <c r="Y304" s="131"/>
      <c r="Z304" s="131">
        <f t="shared" si="171"/>
        <v>0</v>
      </c>
      <c r="AA304" s="131">
        <f t="shared" si="171"/>
        <v>0</v>
      </c>
      <c r="AB304" s="131"/>
      <c r="AC304" s="131"/>
      <c r="AD304" s="131"/>
      <c r="AE304" s="131"/>
      <c r="AF304" s="131">
        <f>AF303</f>
        <v>0</v>
      </c>
      <c r="AG304" s="130">
        <f t="shared" si="172"/>
        <v>0</v>
      </c>
      <c r="AH304" s="131"/>
      <c r="AI304" s="130">
        <f>AI303</f>
        <v>0</v>
      </c>
      <c r="AJ304" s="130">
        <f>AJ303</f>
        <v>0</v>
      </c>
      <c r="AK304" s="130"/>
      <c r="AL304" s="133" t="str">
        <f t="shared" si="167"/>
        <v/>
      </c>
      <c r="AM304" s="134"/>
      <c r="AN304" s="134">
        <f>AF304</f>
        <v>0</v>
      </c>
      <c r="AO304" s="134"/>
      <c r="AP304" s="130">
        <f>AF304</f>
        <v>0</v>
      </c>
      <c r="AQ304" s="130">
        <f t="shared" si="173"/>
        <v>0</v>
      </c>
      <c r="AR304" s="130"/>
      <c r="AS304" s="130"/>
      <c r="AT304" s="130"/>
      <c r="AU304" s="130"/>
      <c r="AV304" s="130"/>
      <c r="AW304" s="130"/>
      <c r="AX304" s="130"/>
      <c r="AY304" s="130"/>
      <c r="AZ304" s="130"/>
      <c r="BA304" s="130"/>
      <c r="BB304" s="130"/>
      <c r="BC304" s="130"/>
      <c r="BD304" s="130"/>
      <c r="BE304" s="130"/>
      <c r="BF304" s="130"/>
      <c r="BG304" s="31"/>
      <c r="BH304" s="31"/>
      <c r="BI304" s="31"/>
      <c r="BJ304" s="31"/>
      <c r="BK304" s="31"/>
      <c r="BL304" s="31"/>
      <c r="BM304" s="31"/>
      <c r="BN304" s="31"/>
      <c r="BQ304" s="27"/>
      <c r="BR304" s="28"/>
      <c r="BS304" s="31"/>
    </row>
    <row r="305" spans="1:72" s="227" customFormat="1" hidden="1" outlineLevel="1" x14ac:dyDescent="0.35">
      <c r="A305" s="499"/>
      <c r="B305" s="470"/>
      <c r="C305" s="217" t="s">
        <v>72</v>
      </c>
      <c r="D305" s="217" t="s">
        <v>73</v>
      </c>
      <c r="E305" s="218"/>
      <c r="F305" s="218"/>
      <c r="G305" s="494"/>
      <c r="H305" s="497"/>
      <c r="I305" s="219"/>
      <c r="J305" s="219"/>
      <c r="K305" s="476"/>
      <c r="L305" s="454"/>
      <c r="M305" s="459" t="s">
        <v>113</v>
      </c>
      <c r="N305" s="220">
        <f t="shared" si="169"/>
        <v>0</v>
      </c>
      <c r="O305" s="220">
        <f t="shared" si="169"/>
        <v>0</v>
      </c>
      <c r="P305" s="220">
        <f t="shared" si="174"/>
        <v>0</v>
      </c>
      <c r="Q305" s="220"/>
      <c r="R305" s="454"/>
      <c r="S305" s="448"/>
      <c r="T305" s="221"/>
      <c r="U305" s="221"/>
      <c r="V305" s="221"/>
      <c r="W305" s="221"/>
      <c r="X305" s="222">
        <f t="shared" si="170"/>
        <v>0</v>
      </c>
      <c r="Y305" s="221"/>
      <c r="Z305" s="221">
        <f t="shared" si="171"/>
        <v>0</v>
      </c>
      <c r="AA305" s="221">
        <f t="shared" si="171"/>
        <v>0</v>
      </c>
      <c r="AB305" s="221">
        <f t="shared" si="171"/>
        <v>0</v>
      </c>
      <c r="AC305" s="221"/>
      <c r="AD305" s="221"/>
      <c r="AE305" s="221"/>
      <c r="AF305" s="221"/>
      <c r="AG305" s="222">
        <f t="shared" si="172"/>
        <v>0</v>
      </c>
      <c r="AH305" s="221"/>
      <c r="AI305" s="222"/>
      <c r="AJ305" s="222">
        <f>AI305*1.12</f>
        <v>0</v>
      </c>
      <c r="AK305" s="218">
        <f>AH305-AE305</f>
        <v>0</v>
      </c>
      <c r="AL305" s="223" t="str">
        <f t="shared" si="167"/>
        <v/>
      </c>
      <c r="AM305" s="224"/>
      <c r="AN305" s="224"/>
      <c r="AO305" s="224"/>
      <c r="AP305" s="222"/>
      <c r="AQ305" s="222">
        <f t="shared" si="173"/>
        <v>0</v>
      </c>
      <c r="AR305" s="222"/>
      <c r="AS305" s="222"/>
      <c r="AT305" s="222"/>
      <c r="AU305" s="222"/>
      <c r="AV305" s="222"/>
      <c r="AW305" s="222"/>
      <c r="AX305" s="222"/>
      <c r="AY305" s="222"/>
      <c r="AZ305" s="225"/>
      <c r="BA305" s="222"/>
      <c r="BB305" s="222"/>
      <c r="BC305" s="222"/>
      <c r="BD305" s="222"/>
      <c r="BE305" s="222"/>
      <c r="BF305" s="222"/>
      <c r="BG305" s="226"/>
      <c r="BH305" s="226"/>
      <c r="BI305" s="226"/>
      <c r="BJ305" s="226"/>
      <c r="BK305" s="226"/>
      <c r="BL305" s="226"/>
      <c r="BM305" s="226"/>
      <c r="BN305" s="226"/>
      <c r="BQ305" s="228"/>
      <c r="BR305" s="229"/>
      <c r="BS305" s="226" t="e">
        <f>AF305-$AC$264/$AE$264*AH305</f>
        <v>#DIV/0!</v>
      </c>
      <c r="BT305" s="227" t="e">
        <f>AK305*$AC$264/$AE$264</f>
        <v>#DIV/0!</v>
      </c>
    </row>
    <row r="306" spans="1:72" s="103" customFormat="1" hidden="1" outlineLevel="1" x14ac:dyDescent="0.35">
      <c r="A306" s="499"/>
      <c r="B306" s="470"/>
      <c r="C306" s="122" t="s">
        <v>74</v>
      </c>
      <c r="D306" s="122" t="s">
        <v>75</v>
      </c>
      <c r="E306" s="185"/>
      <c r="F306" s="185"/>
      <c r="G306" s="494"/>
      <c r="H306" s="497"/>
      <c r="I306" s="189"/>
      <c r="J306" s="189"/>
      <c r="K306" s="476"/>
      <c r="L306" s="454"/>
      <c r="M306" s="459"/>
      <c r="N306" s="125">
        <f t="shared" si="169"/>
        <v>0</v>
      </c>
      <c r="O306" s="125">
        <f t="shared" si="169"/>
        <v>0</v>
      </c>
      <c r="P306" s="125">
        <f t="shared" si="174"/>
        <v>0</v>
      </c>
      <c r="Q306" s="125">
        <f>Q305</f>
        <v>0</v>
      </c>
      <c r="R306" s="454"/>
      <c r="S306" s="448"/>
      <c r="T306" s="124"/>
      <c r="U306" s="124"/>
      <c r="V306" s="124"/>
      <c r="W306" s="124"/>
      <c r="X306" s="123">
        <f t="shared" si="170"/>
        <v>0</v>
      </c>
      <c r="Y306" s="124"/>
      <c r="Z306" s="124">
        <f t="shared" si="171"/>
        <v>0</v>
      </c>
      <c r="AA306" s="124">
        <f t="shared" si="171"/>
        <v>0</v>
      </c>
      <c r="AB306" s="124"/>
      <c r="AC306" s="124"/>
      <c r="AD306" s="124"/>
      <c r="AE306" s="124"/>
      <c r="AF306" s="124"/>
      <c r="AG306" s="123">
        <f t="shared" si="172"/>
        <v>0</v>
      </c>
      <c r="AH306" s="124"/>
      <c r="AI306" s="123"/>
      <c r="AJ306" s="123">
        <f>AI306*1.12</f>
        <v>0</v>
      </c>
      <c r="AK306" s="123"/>
      <c r="AL306" s="126" t="str">
        <f t="shared" si="167"/>
        <v/>
      </c>
      <c r="AM306" s="127"/>
      <c r="AN306" s="127">
        <f>AF306</f>
        <v>0</v>
      </c>
      <c r="AO306" s="127"/>
      <c r="AP306" s="123">
        <f>AF306</f>
        <v>0</v>
      </c>
      <c r="AQ306" s="123">
        <f t="shared" si="173"/>
        <v>0</v>
      </c>
      <c r="AR306" s="123"/>
      <c r="AS306" s="123"/>
      <c r="AT306" s="123"/>
      <c r="AU306" s="123"/>
      <c r="AV306" s="123"/>
      <c r="AW306" s="123"/>
      <c r="AX306" s="123"/>
      <c r="AY306" s="123"/>
      <c r="AZ306" s="123"/>
      <c r="BA306" s="123"/>
      <c r="BB306" s="123"/>
      <c r="BC306" s="123"/>
      <c r="BD306" s="123"/>
      <c r="BE306" s="123"/>
      <c r="BF306" s="123"/>
      <c r="BG306" s="106"/>
      <c r="BH306" s="106"/>
      <c r="BI306" s="106"/>
      <c r="BJ306" s="106"/>
      <c r="BK306" s="106"/>
      <c r="BL306" s="106"/>
      <c r="BM306" s="106"/>
      <c r="BN306" s="106"/>
      <c r="BQ306" s="29"/>
      <c r="BR306" s="107"/>
      <c r="BS306" s="106"/>
    </row>
    <row r="307" spans="1:72" ht="14.5" hidden="1" outlineLevel="1" x14ac:dyDescent="0.35">
      <c r="A307" s="439"/>
      <c r="B307" s="437"/>
      <c r="C307" s="129" t="s">
        <v>74</v>
      </c>
      <c r="D307" s="129" t="s">
        <v>76</v>
      </c>
      <c r="E307" s="187"/>
      <c r="F307" s="187"/>
      <c r="G307" s="495"/>
      <c r="H307" s="498"/>
      <c r="I307" s="191"/>
      <c r="J307" s="191"/>
      <c r="K307" s="476"/>
      <c r="L307" s="454"/>
      <c r="M307" s="459"/>
      <c r="N307" s="132">
        <f t="shared" si="169"/>
        <v>0</v>
      </c>
      <c r="O307" s="132">
        <f t="shared" si="169"/>
        <v>0</v>
      </c>
      <c r="P307" s="132">
        <f t="shared" si="174"/>
        <v>0</v>
      </c>
      <c r="Q307" s="132">
        <f>Q306</f>
        <v>0</v>
      </c>
      <c r="R307" s="454"/>
      <c r="S307" s="448"/>
      <c r="T307" s="131"/>
      <c r="U307" s="131"/>
      <c r="V307" s="131"/>
      <c r="W307" s="131">
        <f>W306</f>
        <v>0</v>
      </c>
      <c r="X307" s="130">
        <f t="shared" si="170"/>
        <v>0</v>
      </c>
      <c r="Y307" s="131"/>
      <c r="Z307" s="131">
        <f t="shared" si="171"/>
        <v>0</v>
      </c>
      <c r="AA307" s="131">
        <f t="shared" si="171"/>
        <v>0</v>
      </c>
      <c r="AB307" s="131"/>
      <c r="AC307" s="131"/>
      <c r="AD307" s="131"/>
      <c r="AE307" s="131"/>
      <c r="AF307" s="131">
        <f>AF306</f>
        <v>0</v>
      </c>
      <c r="AG307" s="130">
        <f t="shared" si="172"/>
        <v>0</v>
      </c>
      <c r="AH307" s="131"/>
      <c r="AI307" s="130">
        <f>AI306</f>
        <v>0</v>
      </c>
      <c r="AJ307" s="130">
        <f>AJ306</f>
        <v>0</v>
      </c>
      <c r="AK307" s="130"/>
      <c r="AL307" s="133" t="str">
        <f t="shared" si="167"/>
        <v/>
      </c>
      <c r="AM307" s="134"/>
      <c r="AN307" s="134">
        <f>AF307</f>
        <v>0</v>
      </c>
      <c r="AO307" s="134"/>
      <c r="AP307" s="130">
        <f>AF307</f>
        <v>0</v>
      </c>
      <c r="AQ307" s="130">
        <f t="shared" si="173"/>
        <v>0</v>
      </c>
      <c r="AR307" s="130"/>
      <c r="AS307" s="130"/>
      <c r="AT307" s="130"/>
      <c r="AU307" s="130"/>
      <c r="AV307" s="130"/>
      <c r="AW307" s="130"/>
      <c r="AX307" s="130"/>
      <c r="AY307" s="130"/>
      <c r="AZ307" s="130"/>
      <c r="BA307" s="130"/>
      <c r="BB307" s="130"/>
      <c r="BC307" s="130"/>
      <c r="BD307" s="130"/>
      <c r="BE307" s="130"/>
      <c r="BF307" s="130"/>
      <c r="BG307" s="31"/>
      <c r="BH307" s="31"/>
      <c r="BI307" s="31"/>
      <c r="BJ307" s="31"/>
      <c r="BK307" s="31"/>
      <c r="BL307" s="31"/>
      <c r="BM307" s="31"/>
      <c r="BN307" s="31"/>
      <c r="BQ307" s="27"/>
      <c r="BR307" s="28"/>
      <c r="BS307" s="31"/>
    </row>
    <row r="308" spans="1:72" s="212" customFormat="1" hidden="1" collapsed="1" x14ac:dyDescent="0.35">
      <c r="A308" s="438"/>
      <c r="B308" s="436" t="s">
        <v>168</v>
      </c>
      <c r="C308" s="202"/>
      <c r="D308" s="202"/>
      <c r="E308" s="203">
        <f>E310+E313+E328</f>
        <v>0</v>
      </c>
      <c r="F308" s="203">
        <f>F310+F313+F328</f>
        <v>0</v>
      </c>
      <c r="G308" s="204"/>
      <c r="H308" s="203">
        <f>H310+H313+H328</f>
        <v>0</v>
      </c>
      <c r="I308" s="203">
        <f>I310+I313+I328</f>
        <v>0</v>
      </c>
      <c r="J308" s="203">
        <f>J310+J313+J328</f>
        <v>0</v>
      </c>
      <c r="K308" s="486" t="s">
        <v>146</v>
      </c>
      <c r="L308" s="487"/>
      <c r="M308" s="500" t="s">
        <v>113</v>
      </c>
      <c r="N308" s="205">
        <f t="shared" ref="N308:Q309" si="175">N310+N313+N328+N316+N319+N322+N325</f>
        <v>121273040</v>
      </c>
      <c r="O308" s="205">
        <f t="shared" si="175"/>
        <v>135825804.80000001</v>
      </c>
      <c r="P308" s="205">
        <f t="shared" si="175"/>
        <v>121273040</v>
      </c>
      <c r="Q308" s="205">
        <f t="shared" si="175"/>
        <v>135825804.80000001</v>
      </c>
      <c r="R308" s="206"/>
      <c r="S308" s="492">
        <f t="shared" ref="S308:AK308" si="176">S310+S313+S328+S316+S319+S322+S325</f>
        <v>40</v>
      </c>
      <c r="T308" s="203">
        <f t="shared" si="176"/>
        <v>0</v>
      </c>
      <c r="U308" s="203">
        <f t="shared" si="176"/>
        <v>0</v>
      </c>
      <c r="V308" s="203">
        <f t="shared" si="176"/>
        <v>0</v>
      </c>
      <c r="W308" s="203">
        <f t="shared" si="176"/>
        <v>0</v>
      </c>
      <c r="X308" s="203">
        <f t="shared" si="176"/>
        <v>0</v>
      </c>
      <c r="Y308" s="203">
        <f t="shared" si="176"/>
        <v>0</v>
      </c>
      <c r="Z308" s="203">
        <f t="shared" si="176"/>
        <v>0</v>
      </c>
      <c r="AA308" s="203">
        <f t="shared" si="176"/>
        <v>0</v>
      </c>
      <c r="AB308" s="203">
        <f t="shared" si="176"/>
        <v>0</v>
      </c>
      <c r="AC308" s="203">
        <f t="shared" si="176"/>
        <v>0</v>
      </c>
      <c r="AD308" s="203">
        <f t="shared" si="176"/>
        <v>0</v>
      </c>
      <c r="AE308" s="203">
        <f t="shared" si="176"/>
        <v>0</v>
      </c>
      <c r="AF308" s="203">
        <f t="shared" si="176"/>
        <v>0</v>
      </c>
      <c r="AG308" s="203">
        <f t="shared" si="176"/>
        <v>0</v>
      </c>
      <c r="AH308" s="203">
        <f t="shared" si="176"/>
        <v>0</v>
      </c>
      <c r="AI308" s="203">
        <f t="shared" si="176"/>
        <v>0</v>
      </c>
      <c r="AJ308" s="203">
        <f t="shared" si="176"/>
        <v>0</v>
      </c>
      <c r="AK308" s="203">
        <f t="shared" si="176"/>
        <v>0</v>
      </c>
      <c r="AL308" s="208" t="str">
        <f t="shared" si="167"/>
        <v/>
      </c>
      <c r="AM308" s="203">
        <f>AM310+AM313+AM328+AM316+AM319+AM322+AM325</f>
        <v>0</v>
      </c>
      <c r="AN308" s="203">
        <f t="shared" ref="AN308:BF309" si="177">AN310+AN313+AN328+AN316+AN319+AN322+AN325</f>
        <v>0</v>
      </c>
      <c r="AO308" s="203">
        <f t="shared" si="177"/>
        <v>0</v>
      </c>
      <c r="AP308" s="203">
        <f t="shared" si="177"/>
        <v>0</v>
      </c>
      <c r="AQ308" s="203">
        <f t="shared" si="177"/>
        <v>0</v>
      </c>
      <c r="AR308" s="203">
        <f t="shared" si="177"/>
        <v>0</v>
      </c>
      <c r="AS308" s="203">
        <f t="shared" si="177"/>
        <v>0</v>
      </c>
      <c r="AT308" s="203">
        <f t="shared" si="177"/>
        <v>0</v>
      </c>
      <c r="AU308" s="203">
        <f t="shared" si="177"/>
        <v>0</v>
      </c>
      <c r="AV308" s="203">
        <f t="shared" si="177"/>
        <v>0</v>
      </c>
      <c r="AW308" s="203">
        <f t="shared" si="177"/>
        <v>0</v>
      </c>
      <c r="AX308" s="203">
        <f t="shared" si="177"/>
        <v>0</v>
      </c>
      <c r="AY308" s="203">
        <f t="shared" si="177"/>
        <v>0</v>
      </c>
      <c r="AZ308" s="203">
        <f t="shared" si="177"/>
        <v>0</v>
      </c>
      <c r="BA308" s="203">
        <f t="shared" si="177"/>
        <v>0</v>
      </c>
      <c r="BB308" s="203">
        <f t="shared" si="177"/>
        <v>0</v>
      </c>
      <c r="BC308" s="203">
        <f t="shared" si="177"/>
        <v>0</v>
      </c>
      <c r="BD308" s="203">
        <f t="shared" si="177"/>
        <v>0</v>
      </c>
      <c r="BE308" s="203">
        <f t="shared" si="177"/>
        <v>0</v>
      </c>
      <c r="BF308" s="203">
        <f t="shared" si="177"/>
        <v>0</v>
      </c>
      <c r="BG308" s="209" t="s">
        <v>84</v>
      </c>
      <c r="BH308" s="210"/>
      <c r="BI308" s="207">
        <f>BI310+BI313+BI578+BI583+BI587</f>
        <v>0</v>
      </c>
      <c r="BJ308" s="207">
        <f>BJ310+BJ313+BJ578+BJ583+BJ587</f>
        <v>0</v>
      </c>
      <c r="BK308" s="207">
        <f>BK310+BK313+BK578+BK583+BK587</f>
        <v>0</v>
      </c>
      <c r="BL308" s="211"/>
      <c r="BM308" s="211"/>
      <c r="BN308" s="210"/>
      <c r="BQ308" s="213"/>
      <c r="BR308" s="214"/>
      <c r="BS308" s="210"/>
    </row>
    <row r="309" spans="1:72" s="212" customFormat="1" hidden="1" x14ac:dyDescent="0.35">
      <c r="A309" s="499"/>
      <c r="B309" s="470"/>
      <c r="C309" s="202"/>
      <c r="D309" s="202"/>
      <c r="E309" s="203">
        <f>E311+E314+E329</f>
        <v>0</v>
      </c>
      <c r="F309" s="203">
        <f>F311+F314+F329</f>
        <v>0</v>
      </c>
      <c r="G309" s="204"/>
      <c r="H309" s="203"/>
      <c r="I309" s="203">
        <f>I311+I314+I329</f>
        <v>0</v>
      </c>
      <c r="J309" s="203">
        <f>J311+J314+J329</f>
        <v>0</v>
      </c>
      <c r="K309" s="488"/>
      <c r="L309" s="489"/>
      <c r="M309" s="500"/>
      <c r="N309" s="205">
        <f t="shared" si="175"/>
        <v>121273040</v>
      </c>
      <c r="O309" s="205">
        <f t="shared" si="175"/>
        <v>135825804.80000001</v>
      </c>
      <c r="P309" s="205">
        <f t="shared" si="175"/>
        <v>121273040</v>
      </c>
      <c r="Q309" s="205">
        <f t="shared" si="175"/>
        <v>135825804.80000001</v>
      </c>
      <c r="R309" s="206"/>
      <c r="S309" s="492"/>
      <c r="T309" s="203">
        <f>T311+T314+T329+T317+T320+T323+T326</f>
        <v>0</v>
      </c>
      <c r="U309" s="203">
        <f>U311+U314+U329+U317+U320+U323+U326</f>
        <v>0</v>
      </c>
      <c r="V309" s="216"/>
      <c r="W309" s="203">
        <f>W311+W314+W329+W317+W320+W323+W326</f>
        <v>0</v>
      </c>
      <c r="X309" s="203">
        <f>X311+X314+X329+X317+X320+X323+X326</f>
        <v>0</v>
      </c>
      <c r="Y309" s="216"/>
      <c r="Z309" s="203">
        <f>Z311+Z314+Z329+Z317+Z320+Z323+Z326</f>
        <v>0</v>
      </c>
      <c r="AA309" s="203">
        <f>AA311+AA314+AA329+AA317+AA320+AA323+AA326</f>
        <v>0</v>
      </c>
      <c r="AB309" s="216"/>
      <c r="AC309" s="203">
        <f>AC311+AC314+AC329+AC317+AC320+AC323+AC326</f>
        <v>0</v>
      </c>
      <c r="AD309" s="203">
        <f>AD311+AD314+AD329+AD317+AD320+AD323+AD326</f>
        <v>0</v>
      </c>
      <c r="AE309" s="216"/>
      <c r="AF309" s="203">
        <f>AF311+AF314+AF329+AF317+AF320+AF323+AF326</f>
        <v>0</v>
      </c>
      <c r="AG309" s="203">
        <f>AG311+AG314+AG329+AG317+AG320+AG323+AG326</f>
        <v>0</v>
      </c>
      <c r="AH309" s="216"/>
      <c r="AI309" s="203">
        <f>AI311+AI314+AI329+AI317+AI320+AI323+AI326</f>
        <v>0</v>
      </c>
      <c r="AJ309" s="203">
        <f>AJ311+AJ314+AJ329+AJ317+AJ320+AJ323+AJ326</f>
        <v>0</v>
      </c>
      <c r="AK309" s="216"/>
      <c r="AL309" s="208" t="str">
        <f t="shared" si="167"/>
        <v/>
      </c>
      <c r="AM309" s="203">
        <f>AM311+AM314+AM329+AM317+AM320+AM323+AM326</f>
        <v>0</v>
      </c>
      <c r="AN309" s="203">
        <f t="shared" si="177"/>
        <v>0</v>
      </c>
      <c r="AO309" s="203">
        <f t="shared" si="177"/>
        <v>0</v>
      </c>
      <c r="AP309" s="203">
        <f t="shared" si="177"/>
        <v>0</v>
      </c>
      <c r="AQ309" s="203">
        <f t="shared" si="177"/>
        <v>0</v>
      </c>
      <c r="AR309" s="203">
        <f t="shared" si="177"/>
        <v>0</v>
      </c>
      <c r="AS309" s="203">
        <f t="shared" si="177"/>
        <v>0</v>
      </c>
      <c r="AT309" s="203">
        <f t="shared" si="177"/>
        <v>0</v>
      </c>
      <c r="AU309" s="203">
        <f t="shared" si="177"/>
        <v>0</v>
      </c>
      <c r="AV309" s="203">
        <f t="shared" si="177"/>
        <v>0</v>
      </c>
      <c r="AW309" s="203">
        <f t="shared" si="177"/>
        <v>0</v>
      </c>
      <c r="AX309" s="203">
        <f t="shared" si="177"/>
        <v>0</v>
      </c>
      <c r="AY309" s="203">
        <f t="shared" si="177"/>
        <v>0</v>
      </c>
      <c r="AZ309" s="203">
        <f t="shared" si="177"/>
        <v>0</v>
      </c>
      <c r="BA309" s="203">
        <f t="shared" si="177"/>
        <v>0</v>
      </c>
      <c r="BB309" s="203">
        <f t="shared" si="177"/>
        <v>0</v>
      </c>
      <c r="BC309" s="203">
        <f t="shared" si="177"/>
        <v>0</v>
      </c>
      <c r="BD309" s="203">
        <f t="shared" si="177"/>
        <v>0</v>
      </c>
      <c r="BE309" s="203">
        <f t="shared" si="177"/>
        <v>0</v>
      </c>
      <c r="BF309" s="203">
        <f t="shared" si="177"/>
        <v>0</v>
      </c>
      <c r="BG309" s="210"/>
      <c r="BH309" s="210"/>
      <c r="BI309" s="207">
        <f>BI311+BI314+BI572+BI575+BI578+BI581</f>
        <v>0</v>
      </c>
      <c r="BJ309" s="207">
        <f>BJ311+BJ314+BJ572+BJ575+BJ578+BJ581</f>
        <v>0</v>
      </c>
      <c r="BK309" s="207">
        <f>BK311+BK314+BK572+BK575+BK578+BK581</f>
        <v>0</v>
      </c>
      <c r="BL309" s="211"/>
      <c r="BM309" s="211"/>
      <c r="BN309" s="210"/>
      <c r="BQ309" s="213"/>
      <c r="BR309" s="214"/>
      <c r="BS309" s="210"/>
    </row>
    <row r="310" spans="1:72" s="227" customFormat="1" ht="21" hidden="1" customHeight="1" x14ac:dyDescent="0.35">
      <c r="A310" s="499"/>
      <c r="B310" s="470"/>
      <c r="C310" s="217" t="s">
        <v>72</v>
      </c>
      <c r="D310" s="217" t="s">
        <v>73</v>
      </c>
      <c r="E310" s="218">
        <f>I310</f>
        <v>0</v>
      </c>
      <c r="F310" s="218">
        <f>E310*1.12</f>
        <v>0</v>
      </c>
      <c r="G310" s="493">
        <v>2020</v>
      </c>
      <c r="H310" s="496"/>
      <c r="I310" s="219"/>
      <c r="J310" s="219">
        <f>I310*1.12</f>
        <v>0</v>
      </c>
      <c r="K310" s="476" t="s">
        <v>166</v>
      </c>
      <c r="L310" s="454" t="s">
        <v>167</v>
      </c>
      <c r="M310" s="459" t="s">
        <v>113</v>
      </c>
      <c r="N310" s="220">
        <f t="shared" ref="N310:O330" si="178">P310</f>
        <v>121273040</v>
      </c>
      <c r="O310" s="220">
        <f t="shared" si="178"/>
        <v>135825804.80000001</v>
      </c>
      <c r="P310" s="220">
        <v>121273040</v>
      </c>
      <c r="Q310" s="220">
        <f>P310*1.12</f>
        <v>135825804.80000001</v>
      </c>
      <c r="R310" s="454" t="s">
        <v>106</v>
      </c>
      <c r="S310" s="448">
        <v>40</v>
      </c>
      <c r="T310" s="221"/>
      <c r="U310" s="221"/>
      <c r="V310" s="221"/>
      <c r="W310" s="221"/>
      <c r="X310" s="222">
        <f t="shared" ref="X310:X330" si="179">W310*1.12</f>
        <v>0</v>
      </c>
      <c r="Y310" s="221"/>
      <c r="Z310" s="221">
        <f t="shared" ref="Z310:AB330" si="180">T310+W310</f>
        <v>0</v>
      </c>
      <c r="AA310" s="221">
        <f t="shared" si="180"/>
        <v>0</v>
      </c>
      <c r="AB310" s="221">
        <f t="shared" si="180"/>
        <v>0</v>
      </c>
      <c r="AC310" s="221"/>
      <c r="AD310" s="221">
        <f>AC310*1.12</f>
        <v>0</v>
      </c>
      <c r="AE310" s="221"/>
      <c r="AF310" s="221"/>
      <c r="AG310" s="222">
        <f t="shared" ref="AG310:AG330" si="181">AF310*1.12</f>
        <v>0</v>
      </c>
      <c r="AH310" s="221"/>
      <c r="AI310" s="222"/>
      <c r="AJ310" s="222">
        <f>AI310*1.12</f>
        <v>0</v>
      </c>
      <c r="AK310" s="218">
        <f>AH310-AE310</f>
        <v>0</v>
      </c>
      <c r="AL310" s="223" t="str">
        <f t="shared" si="167"/>
        <v/>
      </c>
      <c r="AM310" s="224"/>
      <c r="AN310" s="224"/>
      <c r="AO310" s="224"/>
      <c r="AP310" s="222"/>
      <c r="AQ310" s="222">
        <f t="shared" ref="AQ310:AQ330" si="182">AP310*1.12</f>
        <v>0</v>
      </c>
      <c r="AR310" s="222"/>
      <c r="AS310" s="225"/>
      <c r="AT310" s="222"/>
      <c r="AU310" s="222"/>
      <c r="AV310" s="222"/>
      <c r="AW310" s="222"/>
      <c r="AX310" s="222"/>
      <c r="AY310" s="222"/>
      <c r="AZ310" s="218"/>
      <c r="BA310" s="222"/>
      <c r="BB310" s="222"/>
      <c r="BC310" s="222"/>
      <c r="BD310" s="222"/>
      <c r="BE310" s="222"/>
      <c r="BF310" s="225"/>
      <c r="BG310" s="226"/>
      <c r="BH310" s="226"/>
      <c r="BI310" s="226"/>
      <c r="BJ310" s="226"/>
      <c r="BK310" s="226"/>
      <c r="BL310" s="226"/>
      <c r="BM310" s="226"/>
      <c r="BN310" s="226"/>
      <c r="BQ310" s="228"/>
      <c r="BR310" s="229"/>
      <c r="BS310" s="226"/>
    </row>
    <row r="311" spans="1:72" s="103" customFormat="1" ht="21" hidden="1" customHeight="1" x14ac:dyDescent="0.35">
      <c r="A311" s="499"/>
      <c r="B311" s="470"/>
      <c r="C311" s="122" t="s">
        <v>74</v>
      </c>
      <c r="D311" s="122" t="s">
        <v>75</v>
      </c>
      <c r="E311" s="185">
        <f>E310</f>
        <v>0</v>
      </c>
      <c r="F311" s="185">
        <f>E311*1.12</f>
        <v>0</v>
      </c>
      <c r="G311" s="494"/>
      <c r="H311" s="497"/>
      <c r="I311" s="189">
        <f>I310</f>
        <v>0</v>
      </c>
      <c r="J311" s="189">
        <f>I311*1.12</f>
        <v>0</v>
      </c>
      <c r="K311" s="476"/>
      <c r="L311" s="454"/>
      <c r="M311" s="459"/>
      <c r="N311" s="125">
        <f t="shared" si="178"/>
        <v>121273040</v>
      </c>
      <c r="O311" s="125">
        <f t="shared" si="178"/>
        <v>135825804.80000001</v>
      </c>
      <c r="P311" s="125">
        <f t="shared" ref="P311:P330" si="183">Q311/1.12</f>
        <v>121273040</v>
      </c>
      <c r="Q311" s="125">
        <f>Q310</f>
        <v>135825804.80000001</v>
      </c>
      <c r="R311" s="454"/>
      <c r="S311" s="448"/>
      <c r="T311" s="124"/>
      <c r="U311" s="124"/>
      <c r="V311" s="124"/>
      <c r="W311" s="124"/>
      <c r="X311" s="123">
        <f t="shared" si="179"/>
        <v>0</v>
      </c>
      <c r="Y311" s="124"/>
      <c r="Z311" s="124">
        <f t="shared" si="180"/>
        <v>0</v>
      </c>
      <c r="AA311" s="124">
        <f t="shared" si="180"/>
        <v>0</v>
      </c>
      <c r="AB311" s="124"/>
      <c r="AC311" s="124"/>
      <c r="AD311" s="124">
        <f>AC311*1.12</f>
        <v>0</v>
      </c>
      <c r="AE311" s="124"/>
      <c r="AF311" s="124"/>
      <c r="AG311" s="123">
        <f t="shared" si="181"/>
        <v>0</v>
      </c>
      <c r="AH311" s="124"/>
      <c r="AI311" s="123"/>
      <c r="AJ311" s="123">
        <f>AI311*1.12</f>
        <v>0</v>
      </c>
      <c r="AK311" s="123"/>
      <c r="AL311" s="126" t="str">
        <f t="shared" si="167"/>
        <v/>
      </c>
      <c r="AM311" s="127"/>
      <c r="AN311" s="127">
        <f>AF311</f>
        <v>0</v>
      </c>
      <c r="AO311" s="127"/>
      <c r="AP311" s="123">
        <f>AF311</f>
        <v>0</v>
      </c>
      <c r="AQ311" s="123">
        <f t="shared" si="182"/>
        <v>0</v>
      </c>
      <c r="AR311" s="123"/>
      <c r="AS311" s="123"/>
      <c r="AT311" s="123"/>
      <c r="AU311" s="123"/>
      <c r="AV311" s="123"/>
      <c r="AW311" s="123"/>
      <c r="AX311" s="123"/>
      <c r="AY311" s="123"/>
      <c r="AZ311" s="123"/>
      <c r="BA311" s="123"/>
      <c r="BB311" s="123"/>
      <c r="BC311" s="123"/>
      <c r="BD311" s="123"/>
      <c r="BE311" s="123"/>
      <c r="BF311" s="123"/>
      <c r="BG311" s="106"/>
      <c r="BH311" s="106"/>
      <c r="BI311" s="106"/>
      <c r="BJ311" s="106"/>
      <c r="BK311" s="106"/>
      <c r="BL311" s="106"/>
      <c r="BM311" s="106"/>
      <c r="BN311" s="106"/>
      <c r="BQ311" s="29"/>
      <c r="BR311" s="107"/>
      <c r="BS311" s="106"/>
    </row>
    <row r="312" spans="1:72" ht="21" hidden="1" customHeight="1" x14ac:dyDescent="0.35">
      <c r="A312" s="499"/>
      <c r="B312" s="470"/>
      <c r="C312" s="129" t="s">
        <v>74</v>
      </c>
      <c r="D312" s="129" t="s">
        <v>76</v>
      </c>
      <c r="E312" s="187">
        <f>E311</f>
        <v>0</v>
      </c>
      <c r="F312" s="187">
        <f>F311</f>
        <v>0</v>
      </c>
      <c r="G312" s="494"/>
      <c r="H312" s="497"/>
      <c r="I312" s="191">
        <f>I311</f>
        <v>0</v>
      </c>
      <c r="J312" s="191">
        <f>J311</f>
        <v>0</v>
      </c>
      <c r="K312" s="476"/>
      <c r="L312" s="454"/>
      <c r="M312" s="459"/>
      <c r="N312" s="132">
        <f t="shared" si="178"/>
        <v>121273040</v>
      </c>
      <c r="O312" s="132">
        <f t="shared" si="178"/>
        <v>135825804.80000001</v>
      </c>
      <c r="P312" s="132">
        <f t="shared" si="183"/>
        <v>121273040</v>
      </c>
      <c r="Q312" s="132">
        <f>Q311</f>
        <v>135825804.80000001</v>
      </c>
      <c r="R312" s="454"/>
      <c r="S312" s="448"/>
      <c r="T312" s="131"/>
      <c r="U312" s="131"/>
      <c r="V312" s="131"/>
      <c r="W312" s="131">
        <f>W311</f>
        <v>0</v>
      </c>
      <c r="X312" s="130">
        <f t="shared" si="179"/>
        <v>0</v>
      </c>
      <c r="Y312" s="131"/>
      <c r="Z312" s="131">
        <f t="shared" si="180"/>
        <v>0</v>
      </c>
      <c r="AA312" s="131">
        <f t="shared" si="180"/>
        <v>0</v>
      </c>
      <c r="AB312" s="131"/>
      <c r="AC312" s="131">
        <f>AC311</f>
        <v>0</v>
      </c>
      <c r="AD312" s="131">
        <f>AD311</f>
        <v>0</v>
      </c>
      <c r="AE312" s="131"/>
      <c r="AF312" s="131">
        <f>AF311</f>
        <v>0</v>
      </c>
      <c r="AG312" s="130">
        <f t="shared" si="181"/>
        <v>0</v>
      </c>
      <c r="AH312" s="131"/>
      <c r="AI312" s="130">
        <f>AI311</f>
        <v>0</v>
      </c>
      <c r="AJ312" s="130">
        <f>AJ311</f>
        <v>0</v>
      </c>
      <c r="AK312" s="130"/>
      <c r="AL312" s="133" t="str">
        <f t="shared" si="167"/>
        <v/>
      </c>
      <c r="AM312" s="134"/>
      <c r="AN312" s="134">
        <f>AF312</f>
        <v>0</v>
      </c>
      <c r="AO312" s="134"/>
      <c r="AP312" s="130">
        <f>AF312</f>
        <v>0</v>
      </c>
      <c r="AQ312" s="130">
        <f t="shared" si="182"/>
        <v>0</v>
      </c>
      <c r="AR312" s="130"/>
      <c r="AS312" s="130"/>
      <c r="AT312" s="130"/>
      <c r="AU312" s="130"/>
      <c r="AV312" s="130"/>
      <c r="AW312" s="130"/>
      <c r="AX312" s="130"/>
      <c r="AY312" s="130"/>
      <c r="AZ312" s="130"/>
      <c r="BA312" s="130"/>
      <c r="BB312" s="130"/>
      <c r="BC312" s="130"/>
      <c r="BD312" s="130"/>
      <c r="BE312" s="130"/>
      <c r="BF312" s="130"/>
      <c r="BG312" s="31"/>
      <c r="BH312" s="31"/>
      <c r="BI312" s="31"/>
      <c r="BJ312" s="31"/>
      <c r="BK312" s="31"/>
      <c r="BL312" s="31"/>
      <c r="BM312" s="31"/>
      <c r="BN312" s="31"/>
      <c r="BQ312" s="27"/>
      <c r="BR312" s="28"/>
      <c r="BS312" s="31"/>
    </row>
    <row r="313" spans="1:72" s="227" customFormat="1" hidden="1" outlineLevel="1" x14ac:dyDescent="0.35">
      <c r="A313" s="499"/>
      <c r="B313" s="470"/>
      <c r="C313" s="217" t="s">
        <v>72</v>
      </c>
      <c r="D313" s="217" t="s">
        <v>73</v>
      </c>
      <c r="E313" s="218"/>
      <c r="F313" s="218"/>
      <c r="G313" s="494"/>
      <c r="H313" s="497"/>
      <c r="I313" s="219"/>
      <c r="J313" s="219"/>
      <c r="K313" s="476"/>
      <c r="L313" s="454"/>
      <c r="M313" s="459" t="s">
        <v>113</v>
      </c>
      <c r="N313" s="220">
        <f t="shared" si="178"/>
        <v>0</v>
      </c>
      <c r="O313" s="220">
        <f t="shared" si="178"/>
        <v>0</v>
      </c>
      <c r="P313" s="220">
        <f t="shared" si="183"/>
        <v>0</v>
      </c>
      <c r="Q313" s="220"/>
      <c r="R313" s="454"/>
      <c r="S313" s="448"/>
      <c r="T313" s="221"/>
      <c r="U313" s="221"/>
      <c r="V313" s="221"/>
      <c r="W313" s="221"/>
      <c r="X313" s="222">
        <f t="shared" si="179"/>
        <v>0</v>
      </c>
      <c r="Y313" s="221"/>
      <c r="Z313" s="221">
        <f t="shared" si="180"/>
        <v>0</v>
      </c>
      <c r="AA313" s="221">
        <f t="shared" si="180"/>
        <v>0</v>
      </c>
      <c r="AB313" s="221">
        <f t="shared" si="180"/>
        <v>0</v>
      </c>
      <c r="AC313" s="221"/>
      <c r="AD313" s="221"/>
      <c r="AE313" s="221"/>
      <c r="AF313" s="221"/>
      <c r="AG313" s="222">
        <f t="shared" si="181"/>
        <v>0</v>
      </c>
      <c r="AH313" s="221"/>
      <c r="AI313" s="222"/>
      <c r="AJ313" s="222">
        <f>AI313*1.12</f>
        <v>0</v>
      </c>
      <c r="AK313" s="218">
        <f>AH313-AE313</f>
        <v>0</v>
      </c>
      <c r="AL313" s="223" t="str">
        <f t="shared" si="167"/>
        <v/>
      </c>
      <c r="AM313" s="224"/>
      <c r="AN313" s="224"/>
      <c r="AO313" s="224"/>
      <c r="AP313" s="222"/>
      <c r="AQ313" s="222">
        <f t="shared" si="182"/>
        <v>0</v>
      </c>
      <c r="AR313" s="222"/>
      <c r="AS313" s="222"/>
      <c r="AT313" s="222"/>
      <c r="AU313" s="222"/>
      <c r="AV313" s="222"/>
      <c r="AW313" s="222"/>
      <c r="AX313" s="222"/>
      <c r="AY313" s="222"/>
      <c r="AZ313" s="225"/>
      <c r="BA313" s="222"/>
      <c r="BB313" s="222"/>
      <c r="BC313" s="222"/>
      <c r="BD313" s="222"/>
      <c r="BE313" s="222"/>
      <c r="BF313" s="222"/>
      <c r="BG313" s="226"/>
      <c r="BH313" s="226"/>
      <c r="BI313" s="226"/>
      <c r="BJ313" s="226"/>
      <c r="BK313" s="226"/>
      <c r="BL313" s="226"/>
      <c r="BM313" s="226"/>
      <c r="BN313" s="226"/>
      <c r="BQ313" s="228"/>
      <c r="BR313" s="229"/>
      <c r="BS313" s="226"/>
    </row>
    <row r="314" spans="1:72" s="103" customFormat="1" hidden="1" outlineLevel="1" x14ac:dyDescent="0.35">
      <c r="A314" s="499"/>
      <c r="B314" s="470"/>
      <c r="C314" s="122" t="s">
        <v>74</v>
      </c>
      <c r="D314" s="122" t="s">
        <v>75</v>
      </c>
      <c r="E314" s="185"/>
      <c r="F314" s="185"/>
      <c r="G314" s="494"/>
      <c r="H314" s="497"/>
      <c r="I314" s="189"/>
      <c r="J314" s="189"/>
      <c r="K314" s="476"/>
      <c r="L314" s="454"/>
      <c r="M314" s="459"/>
      <c r="N314" s="125">
        <f t="shared" si="178"/>
        <v>0</v>
      </c>
      <c r="O314" s="125">
        <f t="shared" si="178"/>
        <v>0</v>
      </c>
      <c r="P314" s="125">
        <f t="shared" si="183"/>
        <v>0</v>
      </c>
      <c r="Q314" s="125">
        <f>Q313</f>
        <v>0</v>
      </c>
      <c r="R314" s="454"/>
      <c r="S314" s="448"/>
      <c r="T314" s="124"/>
      <c r="U314" s="124"/>
      <c r="V314" s="124"/>
      <c r="W314" s="124"/>
      <c r="X314" s="123">
        <f t="shared" si="179"/>
        <v>0</v>
      </c>
      <c r="Y314" s="124"/>
      <c r="Z314" s="124">
        <f t="shared" si="180"/>
        <v>0</v>
      </c>
      <c r="AA314" s="124">
        <f t="shared" si="180"/>
        <v>0</v>
      </c>
      <c r="AB314" s="124"/>
      <c r="AC314" s="124"/>
      <c r="AD314" s="124"/>
      <c r="AE314" s="124"/>
      <c r="AF314" s="124"/>
      <c r="AG314" s="123">
        <f t="shared" si="181"/>
        <v>0</v>
      </c>
      <c r="AH314" s="124"/>
      <c r="AI314" s="123"/>
      <c r="AJ314" s="123">
        <f>AI314*1.12</f>
        <v>0</v>
      </c>
      <c r="AK314" s="123"/>
      <c r="AL314" s="126" t="str">
        <f t="shared" si="167"/>
        <v/>
      </c>
      <c r="AM314" s="127"/>
      <c r="AN314" s="127">
        <f>AF314</f>
        <v>0</v>
      </c>
      <c r="AO314" s="127"/>
      <c r="AP314" s="123">
        <f>AF314</f>
        <v>0</v>
      </c>
      <c r="AQ314" s="123">
        <f t="shared" si="182"/>
        <v>0</v>
      </c>
      <c r="AR314" s="123"/>
      <c r="AS314" s="123"/>
      <c r="AT314" s="123"/>
      <c r="AU314" s="123"/>
      <c r="AV314" s="123"/>
      <c r="AW314" s="123"/>
      <c r="AX314" s="123"/>
      <c r="AY314" s="123"/>
      <c r="AZ314" s="123"/>
      <c r="BA314" s="123"/>
      <c r="BB314" s="123"/>
      <c r="BC314" s="123"/>
      <c r="BD314" s="123"/>
      <c r="BE314" s="123"/>
      <c r="BF314" s="123"/>
      <c r="BG314" s="106"/>
      <c r="BH314" s="106"/>
      <c r="BI314" s="106"/>
      <c r="BJ314" s="106"/>
      <c r="BK314" s="106"/>
      <c r="BL314" s="106"/>
      <c r="BM314" s="106"/>
      <c r="BN314" s="106"/>
      <c r="BQ314" s="29"/>
      <c r="BR314" s="107"/>
      <c r="BS314" s="106"/>
    </row>
    <row r="315" spans="1:72" ht="14.5" hidden="1" outlineLevel="1" x14ac:dyDescent="0.35">
      <c r="A315" s="499"/>
      <c r="B315" s="470"/>
      <c r="C315" s="129" t="s">
        <v>74</v>
      </c>
      <c r="D315" s="129" t="s">
        <v>76</v>
      </c>
      <c r="E315" s="187"/>
      <c r="F315" s="187"/>
      <c r="G315" s="494"/>
      <c r="H315" s="497"/>
      <c r="I315" s="191"/>
      <c r="J315" s="191"/>
      <c r="K315" s="476"/>
      <c r="L315" s="454"/>
      <c r="M315" s="459"/>
      <c r="N315" s="132">
        <f t="shared" si="178"/>
        <v>0</v>
      </c>
      <c r="O315" s="132">
        <f t="shared" si="178"/>
        <v>0</v>
      </c>
      <c r="P315" s="132">
        <f t="shared" si="183"/>
        <v>0</v>
      </c>
      <c r="Q315" s="132">
        <f>Q314</f>
        <v>0</v>
      </c>
      <c r="R315" s="454"/>
      <c r="S315" s="448"/>
      <c r="T315" s="131"/>
      <c r="U315" s="131"/>
      <c r="V315" s="131"/>
      <c r="W315" s="131">
        <f>W314</f>
        <v>0</v>
      </c>
      <c r="X315" s="130">
        <f t="shared" si="179"/>
        <v>0</v>
      </c>
      <c r="Y315" s="131"/>
      <c r="Z315" s="131">
        <f t="shared" si="180"/>
        <v>0</v>
      </c>
      <c r="AA315" s="131">
        <f t="shared" si="180"/>
        <v>0</v>
      </c>
      <c r="AB315" s="131"/>
      <c r="AC315" s="131"/>
      <c r="AD315" s="131"/>
      <c r="AE315" s="131"/>
      <c r="AF315" s="131">
        <f>AF314</f>
        <v>0</v>
      </c>
      <c r="AG315" s="130">
        <f t="shared" si="181"/>
        <v>0</v>
      </c>
      <c r="AH315" s="131"/>
      <c r="AI315" s="130">
        <f>AI314</f>
        <v>0</v>
      </c>
      <c r="AJ315" s="130">
        <f>AJ314</f>
        <v>0</v>
      </c>
      <c r="AK315" s="130"/>
      <c r="AL315" s="133" t="str">
        <f t="shared" si="167"/>
        <v/>
      </c>
      <c r="AM315" s="134"/>
      <c r="AN315" s="134">
        <f>AF315</f>
        <v>0</v>
      </c>
      <c r="AO315" s="134"/>
      <c r="AP315" s="130">
        <f>AF315</f>
        <v>0</v>
      </c>
      <c r="AQ315" s="130">
        <f t="shared" si="182"/>
        <v>0</v>
      </c>
      <c r="AR315" s="130"/>
      <c r="AS315" s="130"/>
      <c r="AT315" s="130"/>
      <c r="AU315" s="130"/>
      <c r="AV315" s="130"/>
      <c r="AW315" s="130"/>
      <c r="AX315" s="130"/>
      <c r="AY315" s="130"/>
      <c r="AZ315" s="130"/>
      <c r="BA315" s="130"/>
      <c r="BB315" s="130"/>
      <c r="BC315" s="130"/>
      <c r="BD315" s="130"/>
      <c r="BE315" s="130"/>
      <c r="BF315" s="130"/>
      <c r="BG315" s="31"/>
      <c r="BH315" s="31"/>
      <c r="BI315" s="31"/>
      <c r="BJ315" s="31"/>
      <c r="BK315" s="31"/>
      <c r="BL315" s="31"/>
      <c r="BM315" s="31"/>
      <c r="BN315" s="31"/>
      <c r="BQ315" s="27"/>
      <c r="BR315" s="28"/>
      <c r="BS315" s="31"/>
    </row>
    <row r="316" spans="1:72" s="227" customFormat="1" hidden="1" outlineLevel="1" x14ac:dyDescent="0.35">
      <c r="A316" s="499"/>
      <c r="B316" s="470"/>
      <c r="C316" s="217" t="s">
        <v>72</v>
      </c>
      <c r="D316" s="217" t="s">
        <v>73</v>
      </c>
      <c r="E316" s="218"/>
      <c r="F316" s="218"/>
      <c r="G316" s="494"/>
      <c r="H316" s="497"/>
      <c r="I316" s="219"/>
      <c r="J316" s="219"/>
      <c r="K316" s="476"/>
      <c r="L316" s="454"/>
      <c r="M316" s="459" t="s">
        <v>113</v>
      </c>
      <c r="N316" s="220">
        <f t="shared" si="178"/>
        <v>0</v>
      </c>
      <c r="O316" s="220">
        <f t="shared" si="178"/>
        <v>0</v>
      </c>
      <c r="P316" s="220">
        <f t="shared" si="183"/>
        <v>0</v>
      </c>
      <c r="Q316" s="220"/>
      <c r="R316" s="454"/>
      <c r="S316" s="448"/>
      <c r="T316" s="221"/>
      <c r="U316" s="221"/>
      <c r="V316" s="221"/>
      <c r="W316" s="221"/>
      <c r="X316" s="222">
        <f t="shared" si="179"/>
        <v>0</v>
      </c>
      <c r="Y316" s="221"/>
      <c r="Z316" s="221">
        <f t="shared" si="180"/>
        <v>0</v>
      </c>
      <c r="AA316" s="221">
        <f t="shared" si="180"/>
        <v>0</v>
      </c>
      <c r="AB316" s="221">
        <f t="shared" si="180"/>
        <v>0</v>
      </c>
      <c r="AC316" s="221"/>
      <c r="AD316" s="221"/>
      <c r="AE316" s="221"/>
      <c r="AF316" s="221"/>
      <c r="AG316" s="222">
        <f t="shared" si="181"/>
        <v>0</v>
      </c>
      <c r="AH316" s="221"/>
      <c r="AI316" s="222"/>
      <c r="AJ316" s="222">
        <f>AI316*1.12</f>
        <v>0</v>
      </c>
      <c r="AK316" s="218">
        <f>AH316-AE316</f>
        <v>0</v>
      </c>
      <c r="AL316" s="223" t="str">
        <f t="shared" si="167"/>
        <v/>
      </c>
      <c r="AM316" s="224"/>
      <c r="AN316" s="224"/>
      <c r="AO316" s="224"/>
      <c r="AP316" s="222"/>
      <c r="AQ316" s="222">
        <f t="shared" si="182"/>
        <v>0</v>
      </c>
      <c r="AR316" s="222"/>
      <c r="AS316" s="222"/>
      <c r="AT316" s="222"/>
      <c r="AU316" s="222"/>
      <c r="AV316" s="222"/>
      <c r="AW316" s="222"/>
      <c r="AX316" s="222"/>
      <c r="AY316" s="222"/>
      <c r="AZ316" s="218"/>
      <c r="BA316" s="222"/>
      <c r="BB316" s="222"/>
      <c r="BC316" s="222"/>
      <c r="BD316" s="222"/>
      <c r="BE316" s="222"/>
      <c r="BF316" s="222"/>
      <c r="BG316" s="226"/>
      <c r="BH316" s="226"/>
      <c r="BI316" s="226"/>
      <c r="BJ316" s="226"/>
      <c r="BK316" s="226"/>
      <c r="BL316" s="226"/>
      <c r="BM316" s="226"/>
      <c r="BN316" s="226"/>
      <c r="BQ316" s="228"/>
      <c r="BR316" s="229"/>
      <c r="BS316" s="226"/>
    </row>
    <row r="317" spans="1:72" s="103" customFormat="1" hidden="1" outlineLevel="1" x14ac:dyDescent="0.35">
      <c r="A317" s="499"/>
      <c r="B317" s="470"/>
      <c r="C317" s="122" t="s">
        <v>74</v>
      </c>
      <c r="D317" s="122" t="s">
        <v>75</v>
      </c>
      <c r="E317" s="185"/>
      <c r="F317" s="185"/>
      <c r="G317" s="494"/>
      <c r="H317" s="497"/>
      <c r="I317" s="189"/>
      <c r="J317" s="189"/>
      <c r="K317" s="476"/>
      <c r="L317" s="454"/>
      <c r="M317" s="459"/>
      <c r="N317" s="125">
        <f t="shared" si="178"/>
        <v>0</v>
      </c>
      <c r="O317" s="125">
        <f t="shared" si="178"/>
        <v>0</v>
      </c>
      <c r="P317" s="125">
        <f t="shared" si="183"/>
        <v>0</v>
      </c>
      <c r="Q317" s="125">
        <f>Q316</f>
        <v>0</v>
      </c>
      <c r="R317" s="454"/>
      <c r="S317" s="448"/>
      <c r="T317" s="124"/>
      <c r="U317" s="124"/>
      <c r="V317" s="124"/>
      <c r="W317" s="124"/>
      <c r="X317" s="123">
        <f t="shared" si="179"/>
        <v>0</v>
      </c>
      <c r="Y317" s="124"/>
      <c r="Z317" s="124">
        <f t="shared" si="180"/>
        <v>0</v>
      </c>
      <c r="AA317" s="124">
        <f t="shared" si="180"/>
        <v>0</v>
      </c>
      <c r="AB317" s="124"/>
      <c r="AC317" s="124"/>
      <c r="AD317" s="124"/>
      <c r="AE317" s="124"/>
      <c r="AF317" s="124"/>
      <c r="AG317" s="123">
        <f t="shared" si="181"/>
        <v>0</v>
      </c>
      <c r="AH317" s="124"/>
      <c r="AI317" s="123"/>
      <c r="AJ317" s="123">
        <f>AI317*1.12</f>
        <v>0</v>
      </c>
      <c r="AK317" s="123"/>
      <c r="AL317" s="126" t="str">
        <f t="shared" si="167"/>
        <v/>
      </c>
      <c r="AM317" s="127"/>
      <c r="AN317" s="127">
        <f>AF317</f>
        <v>0</v>
      </c>
      <c r="AO317" s="127"/>
      <c r="AP317" s="123">
        <f>AF317</f>
        <v>0</v>
      </c>
      <c r="AQ317" s="123">
        <f t="shared" si="182"/>
        <v>0</v>
      </c>
      <c r="AR317" s="123"/>
      <c r="AS317" s="123"/>
      <c r="AT317" s="123"/>
      <c r="AU317" s="123"/>
      <c r="AV317" s="123"/>
      <c r="AW317" s="123"/>
      <c r="AX317" s="123"/>
      <c r="AY317" s="123"/>
      <c r="AZ317" s="123"/>
      <c r="BA317" s="123"/>
      <c r="BB317" s="123"/>
      <c r="BC317" s="123"/>
      <c r="BD317" s="123"/>
      <c r="BE317" s="123"/>
      <c r="BF317" s="123"/>
      <c r="BG317" s="106"/>
      <c r="BH317" s="106"/>
      <c r="BI317" s="106"/>
      <c r="BJ317" s="106"/>
      <c r="BK317" s="106"/>
      <c r="BL317" s="106"/>
      <c r="BM317" s="106"/>
      <c r="BN317" s="106"/>
      <c r="BQ317" s="29"/>
      <c r="BR317" s="107"/>
      <c r="BS317" s="106"/>
    </row>
    <row r="318" spans="1:72" ht="14.5" hidden="1" outlineLevel="1" x14ac:dyDescent="0.35">
      <c r="A318" s="499"/>
      <c r="B318" s="470"/>
      <c r="C318" s="129" t="s">
        <v>74</v>
      </c>
      <c r="D318" s="129" t="s">
        <v>76</v>
      </c>
      <c r="E318" s="187"/>
      <c r="F318" s="187"/>
      <c r="G318" s="494"/>
      <c r="H318" s="497"/>
      <c r="I318" s="191"/>
      <c r="J318" s="191"/>
      <c r="K318" s="476"/>
      <c r="L318" s="454"/>
      <c r="M318" s="459"/>
      <c r="N318" s="132">
        <f t="shared" si="178"/>
        <v>0</v>
      </c>
      <c r="O318" s="132">
        <f t="shared" si="178"/>
        <v>0</v>
      </c>
      <c r="P318" s="132">
        <f t="shared" si="183"/>
        <v>0</v>
      </c>
      <c r="Q318" s="132">
        <f>Q317</f>
        <v>0</v>
      </c>
      <c r="R318" s="454"/>
      <c r="S318" s="448"/>
      <c r="T318" s="131"/>
      <c r="U318" s="131"/>
      <c r="V318" s="131"/>
      <c r="W318" s="131">
        <f>W317</f>
        <v>0</v>
      </c>
      <c r="X318" s="130">
        <f t="shared" si="179"/>
        <v>0</v>
      </c>
      <c r="Y318" s="131"/>
      <c r="Z318" s="131">
        <f t="shared" si="180"/>
        <v>0</v>
      </c>
      <c r="AA318" s="131">
        <f t="shared" si="180"/>
        <v>0</v>
      </c>
      <c r="AB318" s="131"/>
      <c r="AC318" s="131"/>
      <c r="AD318" s="131"/>
      <c r="AE318" s="131"/>
      <c r="AF318" s="131">
        <f>AF317</f>
        <v>0</v>
      </c>
      <c r="AG318" s="130">
        <f t="shared" si="181"/>
        <v>0</v>
      </c>
      <c r="AH318" s="131"/>
      <c r="AI318" s="130">
        <f>AI317</f>
        <v>0</v>
      </c>
      <c r="AJ318" s="130">
        <f>AJ317</f>
        <v>0</v>
      </c>
      <c r="AK318" s="130"/>
      <c r="AL318" s="133" t="str">
        <f t="shared" si="167"/>
        <v/>
      </c>
      <c r="AM318" s="134"/>
      <c r="AN318" s="134">
        <f>AF318</f>
        <v>0</v>
      </c>
      <c r="AO318" s="134"/>
      <c r="AP318" s="130">
        <f>AF318</f>
        <v>0</v>
      </c>
      <c r="AQ318" s="130">
        <f t="shared" si="182"/>
        <v>0</v>
      </c>
      <c r="AR318" s="130"/>
      <c r="AS318" s="130"/>
      <c r="AT318" s="130"/>
      <c r="AU318" s="130"/>
      <c r="AV318" s="130"/>
      <c r="AW318" s="130"/>
      <c r="AX318" s="130"/>
      <c r="AY318" s="130"/>
      <c r="AZ318" s="130"/>
      <c r="BA318" s="130"/>
      <c r="BB318" s="130"/>
      <c r="BC318" s="130"/>
      <c r="BD318" s="130"/>
      <c r="BE318" s="130"/>
      <c r="BF318" s="130"/>
      <c r="BG318" s="31"/>
      <c r="BH318" s="31"/>
      <c r="BI318" s="31"/>
      <c r="BJ318" s="31"/>
      <c r="BK318" s="31"/>
      <c r="BL318" s="31"/>
      <c r="BM318" s="31"/>
      <c r="BN318" s="31"/>
      <c r="BQ318" s="27"/>
      <c r="BR318" s="28"/>
      <c r="BS318" s="31"/>
    </row>
    <row r="319" spans="1:72" s="227" customFormat="1" hidden="1" outlineLevel="1" x14ac:dyDescent="0.35">
      <c r="A319" s="499"/>
      <c r="B319" s="470"/>
      <c r="C319" s="217" t="s">
        <v>72</v>
      </c>
      <c r="D319" s="217" t="s">
        <v>73</v>
      </c>
      <c r="E319" s="218"/>
      <c r="F319" s="218"/>
      <c r="G319" s="494"/>
      <c r="H319" s="497"/>
      <c r="I319" s="219"/>
      <c r="J319" s="219"/>
      <c r="K319" s="476"/>
      <c r="L319" s="454"/>
      <c r="M319" s="459" t="s">
        <v>113</v>
      </c>
      <c r="N319" s="220">
        <f t="shared" si="178"/>
        <v>0</v>
      </c>
      <c r="O319" s="220">
        <f t="shared" si="178"/>
        <v>0</v>
      </c>
      <c r="P319" s="220">
        <f t="shared" si="183"/>
        <v>0</v>
      </c>
      <c r="Q319" s="220"/>
      <c r="R319" s="454"/>
      <c r="S319" s="448"/>
      <c r="T319" s="221"/>
      <c r="U319" s="221"/>
      <c r="V319" s="221"/>
      <c r="W319" s="221"/>
      <c r="X319" s="222">
        <f t="shared" si="179"/>
        <v>0</v>
      </c>
      <c r="Y319" s="221"/>
      <c r="Z319" s="221">
        <f t="shared" si="180"/>
        <v>0</v>
      </c>
      <c r="AA319" s="221">
        <f t="shared" si="180"/>
        <v>0</v>
      </c>
      <c r="AB319" s="221">
        <f t="shared" si="180"/>
        <v>0</v>
      </c>
      <c r="AC319" s="221"/>
      <c r="AD319" s="221"/>
      <c r="AE319" s="221"/>
      <c r="AF319" s="221"/>
      <c r="AG319" s="222">
        <f t="shared" si="181"/>
        <v>0</v>
      </c>
      <c r="AH319" s="221"/>
      <c r="AI319" s="222"/>
      <c r="AJ319" s="222">
        <f>AI319*1.12</f>
        <v>0</v>
      </c>
      <c r="AK319" s="218">
        <f>AH319-AE319</f>
        <v>0</v>
      </c>
      <c r="AL319" s="223" t="str">
        <f t="shared" si="167"/>
        <v/>
      </c>
      <c r="AM319" s="224"/>
      <c r="AN319" s="224"/>
      <c r="AO319" s="224"/>
      <c r="AP319" s="222"/>
      <c r="AQ319" s="222">
        <f t="shared" si="182"/>
        <v>0</v>
      </c>
      <c r="AR319" s="222"/>
      <c r="AS319" s="222"/>
      <c r="AT319" s="222"/>
      <c r="AU319" s="222"/>
      <c r="AV319" s="222"/>
      <c r="AW319" s="222"/>
      <c r="AX319" s="222"/>
      <c r="AY319" s="222"/>
      <c r="AZ319" s="225"/>
      <c r="BA319" s="222"/>
      <c r="BB319" s="222"/>
      <c r="BC319" s="222"/>
      <c r="BD319" s="222"/>
      <c r="BE319" s="222"/>
      <c r="BF319" s="222"/>
      <c r="BG319" s="226"/>
      <c r="BH319" s="226"/>
      <c r="BI319" s="226"/>
      <c r="BJ319" s="226"/>
      <c r="BK319" s="226"/>
      <c r="BL319" s="226"/>
      <c r="BM319" s="226"/>
      <c r="BN319" s="226"/>
      <c r="BQ319" s="228"/>
      <c r="BR319" s="229"/>
      <c r="BS319" s="226"/>
    </row>
    <row r="320" spans="1:72" s="103" customFormat="1" hidden="1" outlineLevel="1" x14ac:dyDescent="0.35">
      <c r="A320" s="499"/>
      <c r="B320" s="470"/>
      <c r="C320" s="122" t="s">
        <v>74</v>
      </c>
      <c r="D320" s="122" t="s">
        <v>75</v>
      </c>
      <c r="E320" s="185"/>
      <c r="F320" s="185"/>
      <c r="G320" s="494"/>
      <c r="H320" s="497"/>
      <c r="I320" s="189"/>
      <c r="J320" s="189"/>
      <c r="K320" s="476"/>
      <c r="L320" s="454"/>
      <c r="M320" s="459"/>
      <c r="N320" s="125">
        <f t="shared" si="178"/>
        <v>0</v>
      </c>
      <c r="O320" s="125">
        <f t="shared" si="178"/>
        <v>0</v>
      </c>
      <c r="P320" s="125">
        <f t="shared" si="183"/>
        <v>0</v>
      </c>
      <c r="Q320" s="125">
        <f>Q319</f>
        <v>0</v>
      </c>
      <c r="R320" s="454"/>
      <c r="S320" s="448"/>
      <c r="T320" s="124"/>
      <c r="U320" s="124"/>
      <c r="V320" s="124"/>
      <c r="W320" s="124"/>
      <c r="X320" s="123">
        <f t="shared" si="179"/>
        <v>0</v>
      </c>
      <c r="Y320" s="124"/>
      <c r="Z320" s="124">
        <f t="shared" si="180"/>
        <v>0</v>
      </c>
      <c r="AA320" s="124">
        <f t="shared" si="180"/>
        <v>0</v>
      </c>
      <c r="AB320" s="124"/>
      <c r="AC320" s="124"/>
      <c r="AD320" s="124"/>
      <c r="AE320" s="124"/>
      <c r="AF320" s="124"/>
      <c r="AG320" s="123">
        <f t="shared" si="181"/>
        <v>0</v>
      </c>
      <c r="AH320" s="124"/>
      <c r="AI320" s="123"/>
      <c r="AJ320" s="123">
        <f>AI320*1.12</f>
        <v>0</v>
      </c>
      <c r="AK320" s="123"/>
      <c r="AL320" s="126" t="str">
        <f t="shared" si="167"/>
        <v/>
      </c>
      <c r="AM320" s="127"/>
      <c r="AN320" s="127">
        <f>AF320</f>
        <v>0</v>
      </c>
      <c r="AO320" s="127"/>
      <c r="AP320" s="123">
        <f>AF320</f>
        <v>0</v>
      </c>
      <c r="AQ320" s="123">
        <f t="shared" si="182"/>
        <v>0</v>
      </c>
      <c r="AR320" s="123"/>
      <c r="AS320" s="123"/>
      <c r="AT320" s="123"/>
      <c r="AU320" s="123"/>
      <c r="AV320" s="123"/>
      <c r="AW320" s="123"/>
      <c r="AX320" s="123"/>
      <c r="AY320" s="123"/>
      <c r="AZ320" s="123"/>
      <c r="BA320" s="123"/>
      <c r="BB320" s="123"/>
      <c r="BC320" s="123"/>
      <c r="BD320" s="123"/>
      <c r="BE320" s="123"/>
      <c r="BF320" s="123"/>
      <c r="BG320" s="106"/>
      <c r="BH320" s="106"/>
      <c r="BI320" s="106"/>
      <c r="BJ320" s="106"/>
      <c r="BK320" s="106"/>
      <c r="BL320" s="106"/>
      <c r="BM320" s="106"/>
      <c r="BN320" s="106"/>
      <c r="BQ320" s="29"/>
      <c r="BR320" s="107"/>
      <c r="BS320" s="106"/>
    </row>
    <row r="321" spans="1:71" ht="14.5" hidden="1" outlineLevel="1" x14ac:dyDescent="0.35">
      <c r="A321" s="499"/>
      <c r="B321" s="470"/>
      <c r="C321" s="129" t="s">
        <v>74</v>
      </c>
      <c r="D321" s="129" t="s">
        <v>76</v>
      </c>
      <c r="E321" s="187"/>
      <c r="F321" s="187"/>
      <c r="G321" s="494"/>
      <c r="H321" s="497"/>
      <c r="I321" s="191"/>
      <c r="J321" s="191"/>
      <c r="K321" s="476"/>
      <c r="L321" s="454"/>
      <c r="M321" s="459"/>
      <c r="N321" s="132">
        <f t="shared" si="178"/>
        <v>0</v>
      </c>
      <c r="O321" s="132">
        <f t="shared" si="178"/>
        <v>0</v>
      </c>
      <c r="P321" s="132">
        <f t="shared" si="183"/>
        <v>0</v>
      </c>
      <c r="Q321" s="132">
        <f>Q320</f>
        <v>0</v>
      </c>
      <c r="R321" s="454"/>
      <c r="S321" s="448"/>
      <c r="T321" s="131"/>
      <c r="U321" s="131"/>
      <c r="V321" s="131"/>
      <c r="W321" s="131">
        <f>W320</f>
        <v>0</v>
      </c>
      <c r="X321" s="130">
        <f t="shared" si="179"/>
        <v>0</v>
      </c>
      <c r="Y321" s="131"/>
      <c r="Z321" s="131">
        <f t="shared" si="180"/>
        <v>0</v>
      </c>
      <c r="AA321" s="131">
        <f t="shared" si="180"/>
        <v>0</v>
      </c>
      <c r="AB321" s="131"/>
      <c r="AC321" s="131"/>
      <c r="AD321" s="131"/>
      <c r="AE321" s="131"/>
      <c r="AF321" s="131">
        <f>AF320</f>
        <v>0</v>
      </c>
      <c r="AG321" s="130">
        <f t="shared" si="181"/>
        <v>0</v>
      </c>
      <c r="AH321" s="131"/>
      <c r="AI321" s="130">
        <f>AI320</f>
        <v>0</v>
      </c>
      <c r="AJ321" s="130">
        <f>AJ320</f>
        <v>0</v>
      </c>
      <c r="AK321" s="130"/>
      <c r="AL321" s="133" t="str">
        <f t="shared" si="167"/>
        <v/>
      </c>
      <c r="AM321" s="134"/>
      <c r="AN321" s="134">
        <f>AF321</f>
        <v>0</v>
      </c>
      <c r="AO321" s="134"/>
      <c r="AP321" s="130">
        <f>AF321</f>
        <v>0</v>
      </c>
      <c r="AQ321" s="130">
        <f t="shared" si="182"/>
        <v>0</v>
      </c>
      <c r="AR321" s="130"/>
      <c r="AS321" s="130"/>
      <c r="AT321" s="130"/>
      <c r="AU321" s="130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130"/>
      <c r="BG321" s="31"/>
      <c r="BH321" s="31"/>
      <c r="BI321" s="31"/>
      <c r="BJ321" s="31"/>
      <c r="BK321" s="31"/>
      <c r="BL321" s="31"/>
      <c r="BM321" s="31"/>
      <c r="BN321" s="31"/>
      <c r="BQ321" s="27"/>
      <c r="BR321" s="28"/>
      <c r="BS321" s="31"/>
    </row>
    <row r="322" spans="1:71" s="227" customFormat="1" hidden="1" outlineLevel="1" x14ac:dyDescent="0.35">
      <c r="A322" s="499"/>
      <c r="B322" s="470"/>
      <c r="C322" s="217" t="s">
        <v>72</v>
      </c>
      <c r="D322" s="217" t="s">
        <v>73</v>
      </c>
      <c r="E322" s="218"/>
      <c r="F322" s="218"/>
      <c r="G322" s="494"/>
      <c r="H322" s="497"/>
      <c r="I322" s="219"/>
      <c r="J322" s="219"/>
      <c r="K322" s="476"/>
      <c r="L322" s="454"/>
      <c r="M322" s="459" t="s">
        <v>113</v>
      </c>
      <c r="N322" s="220">
        <f t="shared" si="178"/>
        <v>0</v>
      </c>
      <c r="O322" s="220">
        <f t="shared" si="178"/>
        <v>0</v>
      </c>
      <c r="P322" s="220">
        <f t="shared" si="183"/>
        <v>0</v>
      </c>
      <c r="Q322" s="220"/>
      <c r="R322" s="454"/>
      <c r="S322" s="448"/>
      <c r="T322" s="221"/>
      <c r="U322" s="221"/>
      <c r="V322" s="221"/>
      <c r="W322" s="221"/>
      <c r="X322" s="222">
        <f t="shared" si="179"/>
        <v>0</v>
      </c>
      <c r="Y322" s="221"/>
      <c r="Z322" s="221">
        <f t="shared" si="180"/>
        <v>0</v>
      </c>
      <c r="AA322" s="221">
        <f t="shared" si="180"/>
        <v>0</v>
      </c>
      <c r="AB322" s="221">
        <f t="shared" si="180"/>
        <v>0</v>
      </c>
      <c r="AC322" s="221"/>
      <c r="AD322" s="221"/>
      <c r="AE322" s="221"/>
      <c r="AF322" s="221"/>
      <c r="AG322" s="222">
        <f t="shared" si="181"/>
        <v>0</v>
      </c>
      <c r="AH322" s="221"/>
      <c r="AI322" s="222"/>
      <c r="AJ322" s="222">
        <f>AI322*1.12</f>
        <v>0</v>
      </c>
      <c r="AK322" s="218">
        <f>AH322-AE322</f>
        <v>0</v>
      </c>
      <c r="AL322" s="223" t="str">
        <f t="shared" si="167"/>
        <v/>
      </c>
      <c r="AM322" s="224"/>
      <c r="AN322" s="224"/>
      <c r="AO322" s="224"/>
      <c r="AP322" s="222"/>
      <c r="AQ322" s="222">
        <f t="shared" si="182"/>
        <v>0</v>
      </c>
      <c r="AR322" s="222"/>
      <c r="AS322" s="222"/>
      <c r="AT322" s="222"/>
      <c r="AU322" s="222"/>
      <c r="AV322" s="222"/>
      <c r="AW322" s="222"/>
      <c r="AX322" s="222"/>
      <c r="AY322" s="222"/>
      <c r="AZ322" s="225"/>
      <c r="BA322" s="222"/>
      <c r="BB322" s="222"/>
      <c r="BC322" s="222"/>
      <c r="BD322" s="222"/>
      <c r="BE322" s="222"/>
      <c r="BF322" s="222"/>
      <c r="BG322" s="226"/>
      <c r="BH322" s="226"/>
      <c r="BI322" s="226"/>
      <c r="BJ322" s="226"/>
      <c r="BK322" s="226"/>
      <c r="BL322" s="226"/>
      <c r="BM322" s="226"/>
      <c r="BN322" s="226"/>
      <c r="BQ322" s="228"/>
      <c r="BR322" s="229"/>
      <c r="BS322" s="226"/>
    </row>
    <row r="323" spans="1:71" s="103" customFormat="1" hidden="1" outlineLevel="1" x14ac:dyDescent="0.35">
      <c r="A323" s="499"/>
      <c r="B323" s="470"/>
      <c r="C323" s="122" t="s">
        <v>74</v>
      </c>
      <c r="D323" s="122" t="s">
        <v>75</v>
      </c>
      <c r="E323" s="185"/>
      <c r="F323" s="185"/>
      <c r="G323" s="494"/>
      <c r="H323" s="497"/>
      <c r="I323" s="189"/>
      <c r="J323" s="189"/>
      <c r="K323" s="476"/>
      <c r="L323" s="454"/>
      <c r="M323" s="459"/>
      <c r="N323" s="125">
        <f t="shared" si="178"/>
        <v>0</v>
      </c>
      <c r="O323" s="125">
        <f t="shared" si="178"/>
        <v>0</v>
      </c>
      <c r="P323" s="125">
        <f t="shared" si="183"/>
        <v>0</v>
      </c>
      <c r="Q323" s="125">
        <f>Q322</f>
        <v>0</v>
      </c>
      <c r="R323" s="454"/>
      <c r="S323" s="448"/>
      <c r="T323" s="124"/>
      <c r="U323" s="124"/>
      <c r="V323" s="124"/>
      <c r="W323" s="124"/>
      <c r="X323" s="123">
        <f t="shared" si="179"/>
        <v>0</v>
      </c>
      <c r="Y323" s="124"/>
      <c r="Z323" s="124">
        <f t="shared" si="180"/>
        <v>0</v>
      </c>
      <c r="AA323" s="124">
        <f t="shared" si="180"/>
        <v>0</v>
      </c>
      <c r="AB323" s="124"/>
      <c r="AC323" s="124"/>
      <c r="AD323" s="124"/>
      <c r="AE323" s="124"/>
      <c r="AF323" s="124"/>
      <c r="AG323" s="123">
        <f t="shared" si="181"/>
        <v>0</v>
      </c>
      <c r="AH323" s="124"/>
      <c r="AI323" s="123"/>
      <c r="AJ323" s="123">
        <f>AI323*1.12</f>
        <v>0</v>
      </c>
      <c r="AK323" s="123"/>
      <c r="AL323" s="126" t="str">
        <f t="shared" si="167"/>
        <v/>
      </c>
      <c r="AM323" s="127"/>
      <c r="AN323" s="127">
        <f>AF323</f>
        <v>0</v>
      </c>
      <c r="AO323" s="127"/>
      <c r="AP323" s="123">
        <f>AF323</f>
        <v>0</v>
      </c>
      <c r="AQ323" s="123">
        <f t="shared" si="182"/>
        <v>0</v>
      </c>
      <c r="AR323" s="123"/>
      <c r="AS323" s="123"/>
      <c r="AT323" s="123"/>
      <c r="AU323" s="123"/>
      <c r="AV323" s="123"/>
      <c r="AW323" s="123"/>
      <c r="AX323" s="123"/>
      <c r="AY323" s="123"/>
      <c r="AZ323" s="123"/>
      <c r="BA323" s="123"/>
      <c r="BB323" s="123"/>
      <c r="BC323" s="123"/>
      <c r="BD323" s="123"/>
      <c r="BE323" s="123"/>
      <c r="BF323" s="123"/>
      <c r="BG323" s="106"/>
      <c r="BH323" s="106"/>
      <c r="BI323" s="106"/>
      <c r="BJ323" s="106"/>
      <c r="BK323" s="106"/>
      <c r="BL323" s="106"/>
      <c r="BM323" s="106"/>
      <c r="BN323" s="106"/>
      <c r="BQ323" s="29"/>
      <c r="BR323" s="107"/>
      <c r="BS323" s="106"/>
    </row>
    <row r="324" spans="1:71" ht="14.5" hidden="1" outlineLevel="1" x14ac:dyDescent="0.35">
      <c r="A324" s="499"/>
      <c r="B324" s="470"/>
      <c r="C324" s="129" t="s">
        <v>74</v>
      </c>
      <c r="D324" s="129" t="s">
        <v>76</v>
      </c>
      <c r="E324" s="187"/>
      <c r="F324" s="187"/>
      <c r="G324" s="494"/>
      <c r="H324" s="497"/>
      <c r="I324" s="191"/>
      <c r="J324" s="191"/>
      <c r="K324" s="476"/>
      <c r="L324" s="454"/>
      <c r="M324" s="459"/>
      <c r="N324" s="132">
        <f t="shared" si="178"/>
        <v>0</v>
      </c>
      <c r="O324" s="132">
        <f t="shared" si="178"/>
        <v>0</v>
      </c>
      <c r="P324" s="132">
        <f t="shared" si="183"/>
        <v>0</v>
      </c>
      <c r="Q324" s="132">
        <f>Q323</f>
        <v>0</v>
      </c>
      <c r="R324" s="454"/>
      <c r="S324" s="448"/>
      <c r="T324" s="131"/>
      <c r="U324" s="131"/>
      <c r="V324" s="131"/>
      <c r="W324" s="131">
        <f>W323</f>
        <v>0</v>
      </c>
      <c r="X324" s="130">
        <f t="shared" si="179"/>
        <v>0</v>
      </c>
      <c r="Y324" s="131"/>
      <c r="Z324" s="131">
        <f t="shared" si="180"/>
        <v>0</v>
      </c>
      <c r="AA324" s="131">
        <f t="shared" si="180"/>
        <v>0</v>
      </c>
      <c r="AB324" s="131"/>
      <c r="AC324" s="131"/>
      <c r="AD324" s="131"/>
      <c r="AE324" s="131"/>
      <c r="AF324" s="131">
        <f>AF323</f>
        <v>0</v>
      </c>
      <c r="AG324" s="130">
        <f t="shared" si="181"/>
        <v>0</v>
      </c>
      <c r="AH324" s="131"/>
      <c r="AI324" s="130">
        <f>AI323</f>
        <v>0</v>
      </c>
      <c r="AJ324" s="130">
        <f>AJ323</f>
        <v>0</v>
      </c>
      <c r="AK324" s="130"/>
      <c r="AL324" s="133" t="str">
        <f t="shared" si="167"/>
        <v/>
      </c>
      <c r="AM324" s="134"/>
      <c r="AN324" s="134">
        <f>AF324</f>
        <v>0</v>
      </c>
      <c r="AO324" s="134"/>
      <c r="AP324" s="130">
        <f>AF324</f>
        <v>0</v>
      </c>
      <c r="AQ324" s="130">
        <f t="shared" si="182"/>
        <v>0</v>
      </c>
      <c r="AR324" s="130"/>
      <c r="AS324" s="130"/>
      <c r="AT324" s="130"/>
      <c r="AU324" s="130"/>
      <c r="AV324" s="130"/>
      <c r="AW324" s="130"/>
      <c r="AX324" s="130"/>
      <c r="AY324" s="130"/>
      <c r="AZ324" s="130"/>
      <c r="BA324" s="130"/>
      <c r="BB324" s="130"/>
      <c r="BC324" s="130"/>
      <c r="BD324" s="130"/>
      <c r="BE324" s="130"/>
      <c r="BF324" s="130"/>
      <c r="BG324" s="31"/>
      <c r="BH324" s="31"/>
      <c r="BI324" s="31"/>
      <c r="BJ324" s="31"/>
      <c r="BK324" s="31"/>
      <c r="BL324" s="31"/>
      <c r="BM324" s="31"/>
      <c r="BN324" s="31"/>
      <c r="BQ324" s="27"/>
      <c r="BR324" s="28"/>
      <c r="BS324" s="31"/>
    </row>
    <row r="325" spans="1:71" s="227" customFormat="1" hidden="1" outlineLevel="1" x14ac:dyDescent="0.35">
      <c r="A325" s="499"/>
      <c r="B325" s="470"/>
      <c r="C325" s="217" t="s">
        <v>72</v>
      </c>
      <c r="D325" s="217" t="s">
        <v>73</v>
      </c>
      <c r="E325" s="218"/>
      <c r="F325" s="218"/>
      <c r="G325" s="494"/>
      <c r="H325" s="497"/>
      <c r="I325" s="219"/>
      <c r="J325" s="219"/>
      <c r="K325" s="476"/>
      <c r="L325" s="454"/>
      <c r="M325" s="459" t="s">
        <v>113</v>
      </c>
      <c r="N325" s="220">
        <f t="shared" si="178"/>
        <v>0</v>
      </c>
      <c r="O325" s="220">
        <f t="shared" si="178"/>
        <v>0</v>
      </c>
      <c r="P325" s="220">
        <f t="shared" si="183"/>
        <v>0</v>
      </c>
      <c r="Q325" s="220"/>
      <c r="R325" s="454"/>
      <c r="S325" s="448"/>
      <c r="T325" s="221"/>
      <c r="U325" s="221"/>
      <c r="V325" s="221"/>
      <c r="W325" s="221"/>
      <c r="X325" s="222">
        <f t="shared" si="179"/>
        <v>0</v>
      </c>
      <c r="Y325" s="221"/>
      <c r="Z325" s="221">
        <f t="shared" si="180"/>
        <v>0</v>
      </c>
      <c r="AA325" s="221">
        <f t="shared" si="180"/>
        <v>0</v>
      </c>
      <c r="AB325" s="221">
        <f t="shared" si="180"/>
        <v>0</v>
      </c>
      <c r="AC325" s="221"/>
      <c r="AD325" s="221"/>
      <c r="AE325" s="221"/>
      <c r="AF325" s="221"/>
      <c r="AG325" s="222">
        <f t="shared" si="181"/>
        <v>0</v>
      </c>
      <c r="AH325" s="221"/>
      <c r="AI325" s="222"/>
      <c r="AJ325" s="222">
        <f>AI325*1.12</f>
        <v>0</v>
      </c>
      <c r="AK325" s="218">
        <f>AH325-AE325</f>
        <v>0</v>
      </c>
      <c r="AL325" s="223" t="str">
        <f t="shared" si="167"/>
        <v/>
      </c>
      <c r="AM325" s="224"/>
      <c r="AN325" s="224"/>
      <c r="AO325" s="224"/>
      <c r="AP325" s="222"/>
      <c r="AQ325" s="222">
        <f t="shared" si="182"/>
        <v>0</v>
      </c>
      <c r="AR325" s="222"/>
      <c r="AS325" s="222"/>
      <c r="AT325" s="222"/>
      <c r="AU325" s="222"/>
      <c r="AV325" s="222"/>
      <c r="AW325" s="222"/>
      <c r="AX325" s="222"/>
      <c r="AY325" s="222"/>
      <c r="AZ325" s="225"/>
      <c r="BA325" s="222"/>
      <c r="BB325" s="222"/>
      <c r="BC325" s="222"/>
      <c r="BD325" s="222"/>
      <c r="BE325" s="222"/>
      <c r="BF325" s="222"/>
      <c r="BG325" s="226"/>
      <c r="BH325" s="226"/>
      <c r="BI325" s="226"/>
      <c r="BJ325" s="226"/>
      <c r="BK325" s="226"/>
      <c r="BL325" s="226"/>
      <c r="BM325" s="226"/>
      <c r="BN325" s="226"/>
      <c r="BQ325" s="228"/>
      <c r="BR325" s="229"/>
      <c r="BS325" s="226"/>
    </row>
    <row r="326" spans="1:71" s="103" customFormat="1" hidden="1" outlineLevel="1" x14ac:dyDescent="0.35">
      <c r="A326" s="499"/>
      <c r="B326" s="470"/>
      <c r="C326" s="122" t="s">
        <v>74</v>
      </c>
      <c r="D326" s="122" t="s">
        <v>75</v>
      </c>
      <c r="E326" s="185"/>
      <c r="F326" s="185"/>
      <c r="G326" s="494"/>
      <c r="H326" s="497"/>
      <c r="I326" s="189"/>
      <c r="J326" s="189"/>
      <c r="K326" s="476"/>
      <c r="L326" s="454"/>
      <c r="M326" s="459"/>
      <c r="N326" s="125">
        <f t="shared" si="178"/>
        <v>0</v>
      </c>
      <c r="O326" s="125">
        <f t="shared" si="178"/>
        <v>0</v>
      </c>
      <c r="P326" s="125">
        <f t="shared" si="183"/>
        <v>0</v>
      </c>
      <c r="Q326" s="125">
        <f>Q325</f>
        <v>0</v>
      </c>
      <c r="R326" s="454"/>
      <c r="S326" s="448"/>
      <c r="T326" s="124"/>
      <c r="U326" s="124"/>
      <c r="V326" s="124"/>
      <c r="W326" s="124"/>
      <c r="X326" s="123">
        <f t="shared" si="179"/>
        <v>0</v>
      </c>
      <c r="Y326" s="124"/>
      <c r="Z326" s="124">
        <f t="shared" si="180"/>
        <v>0</v>
      </c>
      <c r="AA326" s="124">
        <f t="shared" si="180"/>
        <v>0</v>
      </c>
      <c r="AB326" s="124"/>
      <c r="AC326" s="124"/>
      <c r="AD326" s="124"/>
      <c r="AE326" s="124"/>
      <c r="AF326" s="124"/>
      <c r="AG326" s="123">
        <f t="shared" si="181"/>
        <v>0</v>
      </c>
      <c r="AH326" s="124"/>
      <c r="AI326" s="123"/>
      <c r="AJ326" s="123">
        <f>AI326*1.12</f>
        <v>0</v>
      </c>
      <c r="AK326" s="123"/>
      <c r="AL326" s="126" t="str">
        <f t="shared" si="167"/>
        <v/>
      </c>
      <c r="AM326" s="127"/>
      <c r="AN326" s="127">
        <f>AF326</f>
        <v>0</v>
      </c>
      <c r="AO326" s="127"/>
      <c r="AP326" s="123">
        <f>AF326</f>
        <v>0</v>
      </c>
      <c r="AQ326" s="123">
        <f t="shared" si="182"/>
        <v>0</v>
      </c>
      <c r="AR326" s="123"/>
      <c r="AS326" s="123"/>
      <c r="AT326" s="123"/>
      <c r="AU326" s="123"/>
      <c r="AV326" s="123"/>
      <c r="AW326" s="123"/>
      <c r="AX326" s="123"/>
      <c r="AY326" s="123"/>
      <c r="AZ326" s="123"/>
      <c r="BA326" s="123"/>
      <c r="BB326" s="123"/>
      <c r="BC326" s="123"/>
      <c r="BD326" s="123"/>
      <c r="BE326" s="123"/>
      <c r="BF326" s="123"/>
      <c r="BG326" s="106"/>
      <c r="BH326" s="106"/>
      <c r="BI326" s="106"/>
      <c r="BJ326" s="106"/>
      <c r="BK326" s="106"/>
      <c r="BL326" s="106"/>
      <c r="BM326" s="106"/>
      <c r="BN326" s="106"/>
      <c r="BQ326" s="29"/>
      <c r="BR326" s="107"/>
      <c r="BS326" s="106"/>
    </row>
    <row r="327" spans="1:71" ht="14.5" hidden="1" outlineLevel="1" x14ac:dyDescent="0.35">
      <c r="A327" s="499"/>
      <c r="B327" s="470"/>
      <c r="C327" s="129" t="s">
        <v>74</v>
      </c>
      <c r="D327" s="129" t="s">
        <v>76</v>
      </c>
      <c r="E327" s="187"/>
      <c r="F327" s="187"/>
      <c r="G327" s="494"/>
      <c r="H327" s="497"/>
      <c r="I327" s="191"/>
      <c r="J327" s="191"/>
      <c r="K327" s="476"/>
      <c r="L327" s="454"/>
      <c r="M327" s="459"/>
      <c r="N327" s="132">
        <f t="shared" si="178"/>
        <v>0</v>
      </c>
      <c r="O327" s="132">
        <f t="shared" si="178"/>
        <v>0</v>
      </c>
      <c r="P327" s="132">
        <f t="shared" si="183"/>
        <v>0</v>
      </c>
      <c r="Q327" s="132">
        <f>Q326</f>
        <v>0</v>
      </c>
      <c r="R327" s="454"/>
      <c r="S327" s="448"/>
      <c r="T327" s="131"/>
      <c r="U327" s="131"/>
      <c r="V327" s="131"/>
      <c r="W327" s="131">
        <f>W326</f>
        <v>0</v>
      </c>
      <c r="X327" s="130">
        <f t="shared" si="179"/>
        <v>0</v>
      </c>
      <c r="Y327" s="131"/>
      <c r="Z327" s="131">
        <f t="shared" si="180"/>
        <v>0</v>
      </c>
      <c r="AA327" s="131">
        <f t="shared" si="180"/>
        <v>0</v>
      </c>
      <c r="AB327" s="131"/>
      <c r="AC327" s="131"/>
      <c r="AD327" s="131"/>
      <c r="AE327" s="131"/>
      <c r="AF327" s="131">
        <f>AF326</f>
        <v>0</v>
      </c>
      <c r="AG327" s="130">
        <f t="shared" si="181"/>
        <v>0</v>
      </c>
      <c r="AH327" s="131"/>
      <c r="AI327" s="130">
        <f>AI326</f>
        <v>0</v>
      </c>
      <c r="AJ327" s="130">
        <f>AJ326</f>
        <v>0</v>
      </c>
      <c r="AK327" s="130"/>
      <c r="AL327" s="133" t="str">
        <f t="shared" si="167"/>
        <v/>
      </c>
      <c r="AM327" s="134"/>
      <c r="AN327" s="134">
        <f>AF327</f>
        <v>0</v>
      </c>
      <c r="AO327" s="134"/>
      <c r="AP327" s="130">
        <f>AF327</f>
        <v>0</v>
      </c>
      <c r="AQ327" s="130">
        <f t="shared" si="182"/>
        <v>0</v>
      </c>
      <c r="AR327" s="130"/>
      <c r="AS327" s="130"/>
      <c r="AT327" s="130"/>
      <c r="AU327" s="130"/>
      <c r="AV327" s="130"/>
      <c r="AW327" s="130"/>
      <c r="AX327" s="130"/>
      <c r="AY327" s="130"/>
      <c r="AZ327" s="130"/>
      <c r="BA327" s="130"/>
      <c r="BB327" s="130"/>
      <c r="BC327" s="130"/>
      <c r="BD327" s="130"/>
      <c r="BE327" s="130"/>
      <c r="BF327" s="130"/>
      <c r="BG327" s="31"/>
      <c r="BH327" s="31"/>
      <c r="BI327" s="31"/>
      <c r="BJ327" s="31"/>
      <c r="BK327" s="31"/>
      <c r="BL327" s="31"/>
      <c r="BM327" s="31"/>
      <c r="BN327" s="31"/>
      <c r="BQ327" s="27"/>
      <c r="BR327" s="28"/>
      <c r="BS327" s="31"/>
    </row>
    <row r="328" spans="1:71" s="227" customFormat="1" hidden="1" outlineLevel="1" x14ac:dyDescent="0.35">
      <c r="A328" s="499"/>
      <c r="B328" s="470"/>
      <c r="C328" s="217" t="s">
        <v>72</v>
      </c>
      <c r="D328" s="217" t="s">
        <v>73</v>
      </c>
      <c r="E328" s="218"/>
      <c r="F328" s="218"/>
      <c r="G328" s="494"/>
      <c r="H328" s="497"/>
      <c r="I328" s="219"/>
      <c r="J328" s="219"/>
      <c r="K328" s="476"/>
      <c r="L328" s="454"/>
      <c r="M328" s="459" t="s">
        <v>113</v>
      </c>
      <c r="N328" s="220">
        <f t="shared" si="178"/>
        <v>0</v>
      </c>
      <c r="O328" s="220">
        <f t="shared" si="178"/>
        <v>0</v>
      </c>
      <c r="P328" s="220">
        <f t="shared" si="183"/>
        <v>0</v>
      </c>
      <c r="Q328" s="220"/>
      <c r="R328" s="454"/>
      <c r="S328" s="448"/>
      <c r="T328" s="221"/>
      <c r="U328" s="221"/>
      <c r="V328" s="221"/>
      <c r="W328" s="221"/>
      <c r="X328" s="222">
        <f t="shared" si="179"/>
        <v>0</v>
      </c>
      <c r="Y328" s="221"/>
      <c r="Z328" s="221">
        <f t="shared" si="180"/>
        <v>0</v>
      </c>
      <c r="AA328" s="221">
        <f t="shared" si="180"/>
        <v>0</v>
      </c>
      <c r="AB328" s="221">
        <f t="shared" si="180"/>
        <v>0</v>
      </c>
      <c r="AC328" s="221"/>
      <c r="AD328" s="221"/>
      <c r="AE328" s="221"/>
      <c r="AF328" s="221"/>
      <c r="AG328" s="222">
        <f t="shared" si="181"/>
        <v>0</v>
      </c>
      <c r="AH328" s="221"/>
      <c r="AI328" s="222"/>
      <c r="AJ328" s="222">
        <f>AI328*1.12</f>
        <v>0</v>
      </c>
      <c r="AK328" s="218">
        <f>AH328-AE328</f>
        <v>0</v>
      </c>
      <c r="AL328" s="223" t="str">
        <f t="shared" si="167"/>
        <v/>
      </c>
      <c r="AM328" s="224"/>
      <c r="AN328" s="224"/>
      <c r="AO328" s="224"/>
      <c r="AP328" s="222"/>
      <c r="AQ328" s="222">
        <f t="shared" si="182"/>
        <v>0</v>
      </c>
      <c r="AR328" s="222"/>
      <c r="AS328" s="222"/>
      <c r="AT328" s="222"/>
      <c r="AU328" s="222"/>
      <c r="AV328" s="222"/>
      <c r="AW328" s="222"/>
      <c r="AX328" s="222"/>
      <c r="AY328" s="222"/>
      <c r="AZ328" s="225"/>
      <c r="BA328" s="222"/>
      <c r="BB328" s="222"/>
      <c r="BC328" s="222"/>
      <c r="BD328" s="222"/>
      <c r="BE328" s="222"/>
      <c r="BF328" s="222"/>
      <c r="BG328" s="226"/>
      <c r="BH328" s="226"/>
      <c r="BI328" s="226"/>
      <c r="BJ328" s="226"/>
      <c r="BK328" s="226"/>
      <c r="BL328" s="226"/>
      <c r="BM328" s="226"/>
      <c r="BN328" s="226"/>
      <c r="BQ328" s="228"/>
      <c r="BR328" s="229"/>
      <c r="BS328" s="226"/>
    </row>
    <row r="329" spans="1:71" s="103" customFormat="1" hidden="1" outlineLevel="1" x14ac:dyDescent="0.35">
      <c r="A329" s="499"/>
      <c r="B329" s="470"/>
      <c r="C329" s="122" t="s">
        <v>74</v>
      </c>
      <c r="D329" s="122" t="s">
        <v>75</v>
      </c>
      <c r="E329" s="185"/>
      <c r="F329" s="185"/>
      <c r="G329" s="494"/>
      <c r="H329" s="497"/>
      <c r="I329" s="189"/>
      <c r="J329" s="189"/>
      <c r="K329" s="476"/>
      <c r="L329" s="454"/>
      <c r="M329" s="459"/>
      <c r="N329" s="125">
        <f t="shared" si="178"/>
        <v>0</v>
      </c>
      <c r="O329" s="125">
        <f t="shared" si="178"/>
        <v>0</v>
      </c>
      <c r="P329" s="125">
        <f t="shared" si="183"/>
        <v>0</v>
      </c>
      <c r="Q329" s="125">
        <f>Q328</f>
        <v>0</v>
      </c>
      <c r="R329" s="454"/>
      <c r="S329" s="448"/>
      <c r="T329" s="124"/>
      <c r="U329" s="124"/>
      <c r="V329" s="124"/>
      <c r="W329" s="124"/>
      <c r="X329" s="123">
        <f t="shared" si="179"/>
        <v>0</v>
      </c>
      <c r="Y329" s="124"/>
      <c r="Z329" s="124">
        <f t="shared" si="180"/>
        <v>0</v>
      </c>
      <c r="AA329" s="124">
        <f t="shared" si="180"/>
        <v>0</v>
      </c>
      <c r="AB329" s="124"/>
      <c r="AC329" s="124"/>
      <c r="AD329" s="124"/>
      <c r="AE329" s="124"/>
      <c r="AF329" s="124"/>
      <c r="AG329" s="123">
        <f t="shared" si="181"/>
        <v>0</v>
      </c>
      <c r="AH329" s="124"/>
      <c r="AI329" s="123"/>
      <c r="AJ329" s="123">
        <f>AI329*1.12</f>
        <v>0</v>
      </c>
      <c r="AK329" s="123"/>
      <c r="AL329" s="126" t="str">
        <f t="shared" si="167"/>
        <v/>
      </c>
      <c r="AM329" s="127"/>
      <c r="AN329" s="127">
        <f>AF329</f>
        <v>0</v>
      </c>
      <c r="AO329" s="127"/>
      <c r="AP329" s="123">
        <f>AF329</f>
        <v>0</v>
      </c>
      <c r="AQ329" s="123">
        <f t="shared" si="182"/>
        <v>0</v>
      </c>
      <c r="AR329" s="123"/>
      <c r="AS329" s="123"/>
      <c r="AT329" s="123"/>
      <c r="AU329" s="123"/>
      <c r="AV329" s="123"/>
      <c r="AW329" s="123"/>
      <c r="AX329" s="123"/>
      <c r="AY329" s="123"/>
      <c r="AZ329" s="123"/>
      <c r="BA329" s="123"/>
      <c r="BB329" s="123"/>
      <c r="BC329" s="123"/>
      <c r="BD329" s="123"/>
      <c r="BE329" s="123"/>
      <c r="BF329" s="123"/>
      <c r="BG329" s="106"/>
      <c r="BH329" s="106"/>
      <c r="BI329" s="106"/>
      <c r="BJ329" s="106"/>
      <c r="BK329" s="106"/>
      <c r="BL329" s="106"/>
      <c r="BM329" s="106"/>
      <c r="BN329" s="106"/>
      <c r="BQ329" s="29"/>
      <c r="BR329" s="107"/>
      <c r="BS329" s="106"/>
    </row>
    <row r="330" spans="1:71" ht="14.5" hidden="1" outlineLevel="1" x14ac:dyDescent="0.35">
      <c r="A330" s="439"/>
      <c r="B330" s="437"/>
      <c r="C330" s="129" t="s">
        <v>74</v>
      </c>
      <c r="D330" s="129" t="s">
        <v>76</v>
      </c>
      <c r="E330" s="187"/>
      <c r="F330" s="187"/>
      <c r="G330" s="495"/>
      <c r="H330" s="498"/>
      <c r="I330" s="191"/>
      <c r="J330" s="191"/>
      <c r="K330" s="476"/>
      <c r="L330" s="454"/>
      <c r="M330" s="459"/>
      <c r="N330" s="132">
        <f t="shared" si="178"/>
        <v>0</v>
      </c>
      <c r="O330" s="132">
        <f t="shared" si="178"/>
        <v>0</v>
      </c>
      <c r="P330" s="132">
        <f t="shared" si="183"/>
        <v>0</v>
      </c>
      <c r="Q330" s="132">
        <f>Q329</f>
        <v>0</v>
      </c>
      <c r="R330" s="454"/>
      <c r="S330" s="448"/>
      <c r="T330" s="131"/>
      <c r="U330" s="131"/>
      <c r="V330" s="131"/>
      <c r="W330" s="131">
        <f>W329</f>
        <v>0</v>
      </c>
      <c r="X330" s="130">
        <f t="shared" si="179"/>
        <v>0</v>
      </c>
      <c r="Y330" s="131"/>
      <c r="Z330" s="131">
        <f t="shared" si="180"/>
        <v>0</v>
      </c>
      <c r="AA330" s="131">
        <f t="shared" si="180"/>
        <v>0</v>
      </c>
      <c r="AB330" s="131"/>
      <c r="AC330" s="131"/>
      <c r="AD330" s="131"/>
      <c r="AE330" s="131"/>
      <c r="AF330" s="131">
        <f>AF329</f>
        <v>0</v>
      </c>
      <c r="AG330" s="130">
        <f t="shared" si="181"/>
        <v>0</v>
      </c>
      <c r="AH330" s="131"/>
      <c r="AI330" s="130">
        <f>AI329</f>
        <v>0</v>
      </c>
      <c r="AJ330" s="130">
        <f>AJ329</f>
        <v>0</v>
      </c>
      <c r="AK330" s="130"/>
      <c r="AL330" s="133" t="str">
        <f t="shared" si="167"/>
        <v/>
      </c>
      <c r="AM330" s="134"/>
      <c r="AN330" s="134">
        <f>AF330</f>
        <v>0</v>
      </c>
      <c r="AO330" s="134"/>
      <c r="AP330" s="130">
        <f>AF330</f>
        <v>0</v>
      </c>
      <c r="AQ330" s="130">
        <f t="shared" si="182"/>
        <v>0</v>
      </c>
      <c r="AR330" s="130"/>
      <c r="AS330" s="130"/>
      <c r="AT330" s="130"/>
      <c r="AU330" s="130"/>
      <c r="AV330" s="130"/>
      <c r="AW330" s="130"/>
      <c r="AX330" s="130"/>
      <c r="AY330" s="130"/>
      <c r="AZ330" s="130"/>
      <c r="BA330" s="130"/>
      <c r="BB330" s="130"/>
      <c r="BC330" s="130"/>
      <c r="BD330" s="130"/>
      <c r="BE330" s="130"/>
      <c r="BF330" s="130"/>
      <c r="BG330" s="31"/>
      <c r="BH330" s="31"/>
      <c r="BI330" s="31"/>
      <c r="BJ330" s="31"/>
      <c r="BK330" s="31"/>
      <c r="BL330" s="31"/>
      <c r="BM330" s="31"/>
      <c r="BN330" s="31"/>
      <c r="BQ330" s="27"/>
      <c r="BR330" s="28"/>
      <c r="BS330" s="31"/>
    </row>
    <row r="331" spans="1:71" s="212" customFormat="1" collapsed="1" x14ac:dyDescent="0.35">
      <c r="A331" s="438"/>
      <c r="B331" s="436" t="s">
        <v>169</v>
      </c>
      <c r="C331" s="202"/>
      <c r="D331" s="202"/>
      <c r="E331" s="203">
        <f>E333+E336+E351</f>
        <v>6070</v>
      </c>
      <c r="F331" s="203">
        <f>F333+F336+F351</f>
        <v>6798.4000000000005</v>
      </c>
      <c r="G331" s="204"/>
      <c r="H331" s="203">
        <f>H333+H336+H351</f>
        <v>2</v>
      </c>
      <c r="I331" s="203">
        <f>I333+I336+I351</f>
        <v>6070</v>
      </c>
      <c r="J331" s="203">
        <f>J333+J336+J351</f>
        <v>6798.4000000000005</v>
      </c>
      <c r="K331" s="486" t="s">
        <v>152</v>
      </c>
      <c r="L331" s="487"/>
      <c r="M331" s="500" t="s">
        <v>113</v>
      </c>
      <c r="N331" s="205">
        <f t="shared" ref="N331:Q332" si="184">N333+N336+N351+N339+N342+N345+N348</f>
        <v>5948600</v>
      </c>
      <c r="O331" s="205">
        <f t="shared" si="184"/>
        <v>6662432.0000000009</v>
      </c>
      <c r="P331" s="205">
        <f t="shared" si="184"/>
        <v>5948600</v>
      </c>
      <c r="Q331" s="205">
        <f t="shared" si="184"/>
        <v>6662432.0000000009</v>
      </c>
      <c r="R331" s="206"/>
      <c r="S331" s="492">
        <f t="shared" ref="S331:AK331" si="185">S333+S336+S351+S339+S342+S345+S348</f>
        <v>2</v>
      </c>
      <c r="T331" s="203">
        <f t="shared" si="185"/>
        <v>0</v>
      </c>
      <c r="U331" s="203">
        <f t="shared" si="185"/>
        <v>0</v>
      </c>
      <c r="V331" s="203">
        <f t="shared" si="185"/>
        <v>0</v>
      </c>
      <c r="W331" s="203">
        <f t="shared" si="185"/>
        <v>0</v>
      </c>
      <c r="X331" s="203">
        <f t="shared" si="185"/>
        <v>0</v>
      </c>
      <c r="Y331" s="203">
        <f t="shared" si="185"/>
        <v>0</v>
      </c>
      <c r="Z331" s="203">
        <f t="shared" si="185"/>
        <v>0</v>
      </c>
      <c r="AA331" s="203">
        <f t="shared" si="185"/>
        <v>0</v>
      </c>
      <c r="AB331" s="203">
        <f t="shared" si="185"/>
        <v>0</v>
      </c>
      <c r="AC331" s="203">
        <f t="shared" si="185"/>
        <v>6365</v>
      </c>
      <c r="AD331" s="203">
        <f t="shared" si="185"/>
        <v>7128.8000000000011</v>
      </c>
      <c r="AE331" s="203">
        <f t="shared" si="185"/>
        <v>3</v>
      </c>
      <c r="AF331" s="203">
        <f t="shared" si="185"/>
        <v>5704.7753037237135</v>
      </c>
      <c r="AG331" s="203">
        <f t="shared" si="185"/>
        <v>6389.3483401705598</v>
      </c>
      <c r="AH331" s="203">
        <f t="shared" si="185"/>
        <v>3</v>
      </c>
      <c r="AI331" s="203">
        <f t="shared" si="185"/>
        <v>-660.22469627628652</v>
      </c>
      <c r="AJ331" s="203">
        <f t="shared" si="185"/>
        <v>-739.45165982944093</v>
      </c>
      <c r="AK331" s="203">
        <f t="shared" si="185"/>
        <v>0</v>
      </c>
      <c r="AL331" s="208">
        <f t="shared" si="167"/>
        <v>0.89627263216397701</v>
      </c>
      <c r="AM331" s="203">
        <f>AM333+AM336+AM351+AM339+AM342+AM345+AM348</f>
        <v>0</v>
      </c>
      <c r="AN331" s="203">
        <f t="shared" ref="AN331:BF332" si="186">AN333+AN336+AN351+AN339+AN342+AN345+AN348</f>
        <v>0</v>
      </c>
      <c r="AO331" s="203">
        <f t="shared" si="186"/>
        <v>0</v>
      </c>
      <c r="AP331" s="203">
        <f t="shared" si="186"/>
        <v>6070</v>
      </c>
      <c r="AQ331" s="203">
        <f t="shared" si="186"/>
        <v>6798.4000000000005</v>
      </c>
      <c r="AR331" s="203">
        <f t="shared" si="186"/>
        <v>2</v>
      </c>
      <c r="AS331" s="203">
        <f t="shared" si="186"/>
        <v>0</v>
      </c>
      <c r="AT331" s="203">
        <f t="shared" si="186"/>
        <v>0</v>
      </c>
      <c r="AU331" s="203">
        <f t="shared" si="186"/>
        <v>0</v>
      </c>
      <c r="AV331" s="203">
        <f t="shared" si="186"/>
        <v>0</v>
      </c>
      <c r="AW331" s="203">
        <f t="shared" si="186"/>
        <v>0</v>
      </c>
      <c r="AX331" s="203">
        <f t="shared" si="186"/>
        <v>0</v>
      </c>
      <c r="AY331" s="203">
        <f t="shared" si="186"/>
        <v>0</v>
      </c>
      <c r="AZ331" s="203">
        <f t="shared" si="186"/>
        <v>0</v>
      </c>
      <c r="BA331" s="203">
        <f t="shared" si="186"/>
        <v>0</v>
      </c>
      <c r="BB331" s="203">
        <f t="shared" si="186"/>
        <v>0</v>
      </c>
      <c r="BC331" s="203">
        <f t="shared" si="186"/>
        <v>0</v>
      </c>
      <c r="BD331" s="203">
        <f t="shared" si="186"/>
        <v>0</v>
      </c>
      <c r="BE331" s="203">
        <f t="shared" si="186"/>
        <v>0</v>
      </c>
      <c r="BF331" s="203">
        <f t="shared" si="186"/>
        <v>0</v>
      </c>
      <c r="BG331" s="209" t="s">
        <v>84</v>
      </c>
      <c r="BH331" s="210"/>
      <c r="BI331" s="207">
        <f>BI333+BI336+BI601+BI606+BI610</f>
        <v>0</v>
      </c>
      <c r="BJ331" s="207">
        <f>BJ333+BJ336+BJ601+BJ606+BJ610</f>
        <v>0</v>
      </c>
      <c r="BK331" s="207">
        <f>BK333+BK336+BK601+BK606+BK610</f>
        <v>0</v>
      </c>
      <c r="BL331" s="211"/>
      <c r="BM331" s="211"/>
      <c r="BN331" s="210"/>
      <c r="BQ331" s="213"/>
      <c r="BR331" s="214"/>
      <c r="BS331" s="210"/>
    </row>
    <row r="332" spans="1:71" s="212" customFormat="1" x14ac:dyDescent="0.35">
      <c r="A332" s="499"/>
      <c r="B332" s="470"/>
      <c r="C332" s="202"/>
      <c r="D332" s="202"/>
      <c r="E332" s="203">
        <f>E334+E337+E352</f>
        <v>6070</v>
      </c>
      <c r="F332" s="203">
        <f>F334+F337+F352</f>
        <v>6798.4000000000005</v>
      </c>
      <c r="G332" s="204"/>
      <c r="H332" s="203"/>
      <c r="I332" s="203">
        <f>I334+I337+I352</f>
        <v>3035</v>
      </c>
      <c r="J332" s="203">
        <f>J334+J337+J352</f>
        <v>3399.2000000000003</v>
      </c>
      <c r="K332" s="488"/>
      <c r="L332" s="489"/>
      <c r="M332" s="500"/>
      <c r="N332" s="205">
        <f t="shared" si="184"/>
        <v>5948600</v>
      </c>
      <c r="O332" s="205">
        <f t="shared" si="184"/>
        <v>6662432.0000000009</v>
      </c>
      <c r="P332" s="205">
        <f t="shared" si="184"/>
        <v>5948600</v>
      </c>
      <c r="Q332" s="205">
        <f t="shared" si="184"/>
        <v>6662432.0000000009</v>
      </c>
      <c r="R332" s="206"/>
      <c r="S332" s="492"/>
      <c r="T332" s="203">
        <f>T334+T337+T352+T340+T343+T346+T349</f>
        <v>0</v>
      </c>
      <c r="U332" s="203">
        <f>U334+U337+U352+U340+U343+U346+U349</f>
        <v>0</v>
      </c>
      <c r="V332" s="216"/>
      <c r="W332" s="203">
        <f>W334+W337+W352+W340+W343+W346+W349</f>
        <v>0</v>
      </c>
      <c r="X332" s="203">
        <f>X334+X337+X352+X340+X343+X346+X349</f>
        <v>0</v>
      </c>
      <c r="Y332" s="216"/>
      <c r="Z332" s="203">
        <f>Z334+Z337+Z352+Z340+Z343+Z346+Z349</f>
        <v>0</v>
      </c>
      <c r="AA332" s="203">
        <f>AA334+AA337+AA352+AA340+AA343+AA346+AA349</f>
        <v>0</v>
      </c>
      <c r="AB332" s="216"/>
      <c r="AC332" s="203">
        <f>AC334+AC337+AC352+AC340+AC343+AC346+AC349</f>
        <v>0</v>
      </c>
      <c r="AD332" s="203">
        <f>AD334+AD337+AD352+AD340+AD343+AD346+AD349</f>
        <v>0</v>
      </c>
      <c r="AE332" s="216"/>
      <c r="AF332" s="203">
        <f>AF334+AF337+AF352+AF340+AF343+AF346+AF349</f>
        <v>0</v>
      </c>
      <c r="AG332" s="203">
        <f>AG334+AG337+AG352+AG340+AG343+AG346+AG349</f>
        <v>0</v>
      </c>
      <c r="AH332" s="216"/>
      <c r="AI332" s="203">
        <f>AI334+AI337+AI352+AI340+AI343+AI346+AI349</f>
        <v>0</v>
      </c>
      <c r="AJ332" s="203">
        <f>AJ334+AJ337+AJ352+AJ340+AJ343+AJ346+AJ349</f>
        <v>0</v>
      </c>
      <c r="AK332" s="216"/>
      <c r="AL332" s="208" t="str">
        <f t="shared" si="167"/>
        <v/>
      </c>
      <c r="AM332" s="203">
        <f>AM334+AM337+AM352+AM340+AM343+AM346+AM349</f>
        <v>0</v>
      </c>
      <c r="AN332" s="203">
        <f t="shared" si="186"/>
        <v>0</v>
      </c>
      <c r="AO332" s="203">
        <f t="shared" si="186"/>
        <v>0</v>
      </c>
      <c r="AP332" s="203">
        <f t="shared" si="186"/>
        <v>3035</v>
      </c>
      <c r="AQ332" s="203">
        <f t="shared" si="186"/>
        <v>3399.2000000000003</v>
      </c>
      <c r="AR332" s="203">
        <f t="shared" si="186"/>
        <v>0</v>
      </c>
      <c r="AS332" s="203">
        <f t="shared" si="186"/>
        <v>0</v>
      </c>
      <c r="AT332" s="203">
        <f t="shared" si="186"/>
        <v>0</v>
      </c>
      <c r="AU332" s="203">
        <f t="shared" si="186"/>
        <v>0</v>
      </c>
      <c r="AV332" s="203">
        <f t="shared" si="186"/>
        <v>0</v>
      </c>
      <c r="AW332" s="203">
        <f t="shared" si="186"/>
        <v>0</v>
      </c>
      <c r="AX332" s="203">
        <f t="shared" si="186"/>
        <v>0</v>
      </c>
      <c r="AY332" s="203">
        <f t="shared" si="186"/>
        <v>0</v>
      </c>
      <c r="AZ332" s="203">
        <f t="shared" si="186"/>
        <v>0</v>
      </c>
      <c r="BA332" s="203">
        <f t="shared" si="186"/>
        <v>0</v>
      </c>
      <c r="BB332" s="203">
        <f t="shared" si="186"/>
        <v>0</v>
      </c>
      <c r="BC332" s="203">
        <f t="shared" si="186"/>
        <v>0</v>
      </c>
      <c r="BD332" s="203">
        <f t="shared" si="186"/>
        <v>0</v>
      </c>
      <c r="BE332" s="203">
        <f t="shared" si="186"/>
        <v>0</v>
      </c>
      <c r="BF332" s="203">
        <f t="shared" si="186"/>
        <v>0</v>
      </c>
      <c r="BG332" s="210"/>
      <c r="BH332" s="210"/>
      <c r="BI332" s="207">
        <f>BI334+BI337+BI595+BI598+BI601+BI604</f>
        <v>0</v>
      </c>
      <c r="BJ332" s="207">
        <f>BJ334+BJ337+BJ595+BJ598+BJ601+BJ604</f>
        <v>0</v>
      </c>
      <c r="BK332" s="207">
        <f>BK334+BK337+BK595+BK598+BK601+BK604</f>
        <v>0</v>
      </c>
      <c r="BL332" s="211"/>
      <c r="BM332" s="211"/>
      <c r="BN332" s="210"/>
      <c r="BQ332" s="213"/>
      <c r="BR332" s="214"/>
      <c r="BS332" s="210"/>
    </row>
    <row r="333" spans="1:71" s="227" customFormat="1" ht="21.75" customHeight="1" x14ac:dyDescent="0.35">
      <c r="A333" s="499"/>
      <c r="B333" s="470"/>
      <c r="C333" s="217" t="s">
        <v>72</v>
      </c>
      <c r="D333" s="217" t="s">
        <v>73</v>
      </c>
      <c r="E333" s="218">
        <f>I333</f>
        <v>6070</v>
      </c>
      <c r="F333" s="218">
        <f>E333*1.12</f>
        <v>6798.4000000000005</v>
      </c>
      <c r="G333" s="493">
        <v>2020</v>
      </c>
      <c r="H333" s="496">
        <v>2</v>
      </c>
      <c r="I333" s="219">
        <v>6070</v>
      </c>
      <c r="J333" s="219">
        <f>I333*1.12</f>
        <v>6798.4000000000005</v>
      </c>
      <c r="K333" s="476" t="s">
        <v>166</v>
      </c>
      <c r="L333" s="454" t="s">
        <v>167</v>
      </c>
      <c r="M333" s="459" t="s">
        <v>113</v>
      </c>
      <c r="N333" s="220">
        <f t="shared" ref="N333:O353" si="187">P333</f>
        <v>5948600</v>
      </c>
      <c r="O333" s="220">
        <f t="shared" si="187"/>
        <v>6662432.0000000009</v>
      </c>
      <c r="P333" s="220">
        <v>5948600</v>
      </c>
      <c r="Q333" s="220">
        <f>P333*1.12</f>
        <v>6662432.0000000009</v>
      </c>
      <c r="R333" s="454" t="s">
        <v>106</v>
      </c>
      <c r="S333" s="448">
        <v>2</v>
      </c>
      <c r="T333" s="221"/>
      <c r="U333" s="221"/>
      <c r="V333" s="221"/>
      <c r="W333" s="221"/>
      <c r="X333" s="222">
        <f t="shared" ref="X333:X353" si="188">W333*1.12</f>
        <v>0</v>
      </c>
      <c r="Y333" s="221"/>
      <c r="Z333" s="221">
        <f t="shared" ref="Z333:AB353" si="189">T333+W333</f>
        <v>0</v>
      </c>
      <c r="AA333" s="221">
        <f t="shared" si="189"/>
        <v>0</v>
      </c>
      <c r="AB333" s="221">
        <f t="shared" si="189"/>
        <v>0</v>
      </c>
      <c r="AC333" s="221">
        <v>6365</v>
      </c>
      <c r="AD333" s="221">
        <f>AC333*1.12</f>
        <v>7128.8000000000011</v>
      </c>
      <c r="AE333" s="221">
        <v>3</v>
      </c>
      <c r="AF333" s="221">
        <v>5704.7753037237135</v>
      </c>
      <c r="AG333" s="222">
        <f t="shared" ref="AG333:AG353" si="190">AF333*1.12</f>
        <v>6389.3483401705598</v>
      </c>
      <c r="AH333" s="221">
        <v>3</v>
      </c>
      <c r="AI333" s="123">
        <f>AF333+AF336+AF339+AF342+AF345+AF348+AF351-AC333</f>
        <v>-660.22469627628652</v>
      </c>
      <c r="AJ333" s="222">
        <f>AI333*1.12</f>
        <v>-739.45165982944093</v>
      </c>
      <c r="AK333" s="218">
        <f>AH333-AE333</f>
        <v>0</v>
      </c>
      <c r="AL333" s="223">
        <f t="shared" si="167"/>
        <v>0.89627263216397701</v>
      </c>
      <c r="AM333" s="224"/>
      <c r="AN333" s="224"/>
      <c r="AO333" s="224"/>
      <c r="AP333" s="222">
        <f>I333</f>
        <v>6070</v>
      </c>
      <c r="AQ333" s="222">
        <f t="shared" ref="AQ333:AQ353" si="191">AP333*1.12</f>
        <v>6798.4000000000005</v>
      </c>
      <c r="AR333" s="222">
        <v>2</v>
      </c>
      <c r="AS333" s="225"/>
      <c r="AT333" s="222"/>
      <c r="AU333" s="222"/>
      <c r="AV333" s="222"/>
      <c r="AW333" s="222"/>
      <c r="AX333" s="222"/>
      <c r="AY333" s="222"/>
      <c r="AZ333" s="218"/>
      <c r="BA333" s="222"/>
      <c r="BB333" s="222"/>
      <c r="BC333" s="222"/>
      <c r="BD333" s="222"/>
      <c r="BE333" s="222"/>
      <c r="BF333" s="225"/>
      <c r="BG333" s="226"/>
      <c r="BH333" s="226"/>
      <c r="BI333" s="226"/>
      <c r="BJ333" s="226"/>
      <c r="BK333" s="226"/>
      <c r="BL333" s="226"/>
      <c r="BM333" s="226"/>
      <c r="BN333" s="226"/>
      <c r="BQ333" s="228"/>
      <c r="BR333" s="229"/>
      <c r="BS333" s="226"/>
    </row>
    <row r="334" spans="1:71" s="103" customFormat="1" ht="21.75" customHeight="1" x14ac:dyDescent="0.35">
      <c r="A334" s="499"/>
      <c r="B334" s="470"/>
      <c r="C334" s="122" t="s">
        <v>74</v>
      </c>
      <c r="D334" s="122" t="s">
        <v>75</v>
      </c>
      <c r="E334" s="185">
        <f>E333</f>
        <v>6070</v>
      </c>
      <c r="F334" s="185">
        <f>E334*1.12</f>
        <v>6798.4000000000005</v>
      </c>
      <c r="G334" s="494"/>
      <c r="H334" s="497"/>
      <c r="I334" s="189">
        <v>3035</v>
      </c>
      <c r="J334" s="189">
        <f>I334*1.12</f>
        <v>3399.2000000000003</v>
      </c>
      <c r="K334" s="476"/>
      <c r="L334" s="454"/>
      <c r="M334" s="459"/>
      <c r="N334" s="125">
        <f t="shared" si="187"/>
        <v>5948600</v>
      </c>
      <c r="O334" s="125">
        <f t="shared" si="187"/>
        <v>6662432.0000000009</v>
      </c>
      <c r="P334" s="125">
        <f t="shared" ref="P334:P353" si="192">Q334/1.12</f>
        <v>5948600</v>
      </c>
      <c r="Q334" s="125">
        <f>Q333</f>
        <v>6662432.0000000009</v>
      </c>
      <c r="R334" s="454"/>
      <c r="S334" s="448"/>
      <c r="T334" s="124"/>
      <c r="U334" s="124"/>
      <c r="V334" s="124"/>
      <c r="W334" s="124"/>
      <c r="X334" s="123">
        <f t="shared" si="188"/>
        <v>0</v>
      </c>
      <c r="Y334" s="124"/>
      <c r="Z334" s="124">
        <f t="shared" si="189"/>
        <v>0</v>
      </c>
      <c r="AA334" s="124">
        <f t="shared" si="189"/>
        <v>0</v>
      </c>
      <c r="AB334" s="124"/>
      <c r="AC334" s="124"/>
      <c r="AD334" s="124">
        <f>AC334*1.12</f>
        <v>0</v>
      </c>
      <c r="AE334" s="124"/>
      <c r="AF334" s="124"/>
      <c r="AG334" s="123">
        <f t="shared" si="190"/>
        <v>0</v>
      </c>
      <c r="AH334" s="124"/>
      <c r="AI334" s="123">
        <f>AF334+AF337+AF340+AF343+AF346+AF349+AF352-AC334</f>
        <v>0</v>
      </c>
      <c r="AJ334" s="123">
        <f>AI334*1.12</f>
        <v>0</v>
      </c>
      <c r="AK334" s="123"/>
      <c r="AL334" s="126" t="str">
        <f t="shared" si="167"/>
        <v/>
      </c>
      <c r="AM334" s="127"/>
      <c r="AN334" s="127">
        <f>AF334</f>
        <v>0</v>
      </c>
      <c r="AO334" s="127"/>
      <c r="AP334" s="123">
        <f>I334</f>
        <v>3035</v>
      </c>
      <c r="AQ334" s="123">
        <f t="shared" si="191"/>
        <v>3399.2000000000003</v>
      </c>
      <c r="AR334" s="123"/>
      <c r="AS334" s="123"/>
      <c r="AT334" s="123"/>
      <c r="AU334" s="123"/>
      <c r="AV334" s="123"/>
      <c r="AW334" s="123"/>
      <c r="AX334" s="123"/>
      <c r="AY334" s="123"/>
      <c r="AZ334" s="123"/>
      <c r="BA334" s="123"/>
      <c r="BB334" s="123"/>
      <c r="BC334" s="123"/>
      <c r="BD334" s="123"/>
      <c r="BE334" s="123"/>
      <c r="BF334" s="123"/>
      <c r="BG334" s="106"/>
      <c r="BH334" s="106"/>
      <c r="BI334" s="106"/>
      <c r="BJ334" s="106"/>
      <c r="BK334" s="106"/>
      <c r="BL334" s="106"/>
      <c r="BM334" s="106"/>
      <c r="BN334" s="106"/>
      <c r="BQ334" s="29"/>
      <c r="BR334" s="107"/>
      <c r="BS334" s="106"/>
    </row>
    <row r="335" spans="1:71" ht="21.75" customHeight="1" x14ac:dyDescent="0.35">
      <c r="A335" s="499"/>
      <c r="B335" s="470"/>
      <c r="C335" s="129" t="s">
        <v>74</v>
      </c>
      <c r="D335" s="129" t="s">
        <v>76</v>
      </c>
      <c r="E335" s="187">
        <f>E334</f>
        <v>6070</v>
      </c>
      <c r="F335" s="187">
        <f>F334</f>
        <v>6798.4000000000005</v>
      </c>
      <c r="G335" s="494"/>
      <c r="H335" s="497"/>
      <c r="I335" s="191">
        <f>I334</f>
        <v>3035</v>
      </c>
      <c r="J335" s="191">
        <f>J334</f>
        <v>3399.2000000000003</v>
      </c>
      <c r="K335" s="476"/>
      <c r="L335" s="454"/>
      <c r="M335" s="459"/>
      <c r="N335" s="132">
        <f t="shared" si="187"/>
        <v>5948600</v>
      </c>
      <c r="O335" s="132">
        <f t="shared" si="187"/>
        <v>6662432.0000000009</v>
      </c>
      <c r="P335" s="132">
        <f t="shared" si="192"/>
        <v>5948600</v>
      </c>
      <c r="Q335" s="132">
        <f>Q334</f>
        <v>6662432.0000000009</v>
      </c>
      <c r="R335" s="454"/>
      <c r="S335" s="448"/>
      <c r="T335" s="131"/>
      <c r="U335" s="131"/>
      <c r="V335" s="131"/>
      <c r="W335" s="131">
        <f>W334</f>
        <v>0</v>
      </c>
      <c r="X335" s="130">
        <f t="shared" si="188"/>
        <v>0</v>
      </c>
      <c r="Y335" s="131"/>
      <c r="Z335" s="131">
        <f t="shared" si="189"/>
        <v>0</v>
      </c>
      <c r="AA335" s="131">
        <f t="shared" si="189"/>
        <v>0</v>
      </c>
      <c r="AB335" s="131"/>
      <c r="AC335" s="131">
        <f>AC334</f>
        <v>0</v>
      </c>
      <c r="AD335" s="131">
        <f>AD334</f>
        <v>0</v>
      </c>
      <c r="AE335" s="131"/>
      <c r="AF335" s="131">
        <f>AF334</f>
        <v>0</v>
      </c>
      <c r="AG335" s="130">
        <f t="shared" si="190"/>
        <v>0</v>
      </c>
      <c r="AH335" s="131"/>
      <c r="AI335" s="130">
        <f>AI334</f>
        <v>0</v>
      </c>
      <c r="AJ335" s="130">
        <f>AJ334</f>
        <v>0</v>
      </c>
      <c r="AK335" s="130"/>
      <c r="AL335" s="133" t="str">
        <f t="shared" si="167"/>
        <v/>
      </c>
      <c r="AM335" s="134"/>
      <c r="AN335" s="134">
        <f>AF335</f>
        <v>0</v>
      </c>
      <c r="AO335" s="134"/>
      <c r="AP335" s="130">
        <f>I335</f>
        <v>3035</v>
      </c>
      <c r="AQ335" s="130">
        <f t="shared" si="191"/>
        <v>3399.2000000000003</v>
      </c>
      <c r="AR335" s="130"/>
      <c r="AS335" s="130"/>
      <c r="AT335" s="130"/>
      <c r="AU335" s="130"/>
      <c r="AV335" s="130"/>
      <c r="AW335" s="130"/>
      <c r="AX335" s="130"/>
      <c r="AY335" s="130"/>
      <c r="AZ335" s="130"/>
      <c r="BA335" s="130"/>
      <c r="BB335" s="130"/>
      <c r="BC335" s="130"/>
      <c r="BD335" s="130"/>
      <c r="BE335" s="130"/>
      <c r="BF335" s="130"/>
      <c r="BG335" s="31"/>
      <c r="BH335" s="31"/>
      <c r="BI335" s="31"/>
      <c r="BJ335" s="31"/>
      <c r="BK335" s="31"/>
      <c r="BL335" s="31"/>
      <c r="BM335" s="31"/>
      <c r="BN335" s="31"/>
      <c r="BQ335" s="27"/>
      <c r="BR335" s="28"/>
      <c r="BS335" s="31"/>
    </row>
    <row r="336" spans="1:71" s="227" customFormat="1" hidden="1" outlineLevel="1" x14ac:dyDescent="0.35">
      <c r="A336" s="499"/>
      <c r="B336" s="470"/>
      <c r="C336" s="217" t="s">
        <v>72</v>
      </c>
      <c r="D336" s="217" t="s">
        <v>73</v>
      </c>
      <c r="E336" s="218"/>
      <c r="F336" s="218"/>
      <c r="G336" s="494"/>
      <c r="H336" s="497"/>
      <c r="I336" s="219"/>
      <c r="J336" s="219"/>
      <c r="K336" s="476"/>
      <c r="L336" s="454"/>
      <c r="M336" s="459" t="s">
        <v>113</v>
      </c>
      <c r="N336" s="220">
        <f t="shared" si="187"/>
        <v>0</v>
      </c>
      <c r="O336" s="220">
        <f t="shared" si="187"/>
        <v>0</v>
      </c>
      <c r="P336" s="220">
        <f t="shared" si="192"/>
        <v>0</v>
      </c>
      <c r="Q336" s="220"/>
      <c r="R336" s="454"/>
      <c r="S336" s="448"/>
      <c r="T336" s="221"/>
      <c r="U336" s="221"/>
      <c r="V336" s="221"/>
      <c r="W336" s="221"/>
      <c r="X336" s="222">
        <f t="shared" si="188"/>
        <v>0</v>
      </c>
      <c r="Y336" s="221"/>
      <c r="Z336" s="221">
        <f t="shared" si="189"/>
        <v>0</v>
      </c>
      <c r="AA336" s="221">
        <f t="shared" si="189"/>
        <v>0</v>
      </c>
      <c r="AB336" s="221">
        <f t="shared" si="189"/>
        <v>0</v>
      </c>
      <c r="AC336" s="221"/>
      <c r="AD336" s="221"/>
      <c r="AE336" s="221"/>
      <c r="AF336" s="221"/>
      <c r="AG336" s="222">
        <f t="shared" si="190"/>
        <v>0</v>
      </c>
      <c r="AH336" s="221"/>
      <c r="AI336" s="222"/>
      <c r="AJ336" s="222">
        <f>AI336*1.12</f>
        <v>0</v>
      </c>
      <c r="AK336" s="218">
        <f>AH336-AE336</f>
        <v>0</v>
      </c>
      <c r="AL336" s="223" t="str">
        <f t="shared" si="167"/>
        <v/>
      </c>
      <c r="AM336" s="224"/>
      <c r="AN336" s="224"/>
      <c r="AO336" s="224"/>
      <c r="AP336" s="222"/>
      <c r="AQ336" s="222">
        <f t="shared" si="191"/>
        <v>0</v>
      </c>
      <c r="AR336" s="222"/>
      <c r="AS336" s="222"/>
      <c r="AT336" s="222"/>
      <c r="AU336" s="222"/>
      <c r="AV336" s="222"/>
      <c r="AW336" s="222"/>
      <c r="AX336" s="222"/>
      <c r="AY336" s="222"/>
      <c r="AZ336" s="225"/>
      <c r="BA336" s="222"/>
      <c r="BB336" s="222"/>
      <c r="BC336" s="222"/>
      <c r="BD336" s="222"/>
      <c r="BE336" s="222"/>
      <c r="BF336" s="222"/>
      <c r="BG336" s="226"/>
      <c r="BH336" s="226"/>
      <c r="BI336" s="226"/>
      <c r="BJ336" s="226"/>
      <c r="BK336" s="226"/>
      <c r="BL336" s="226"/>
      <c r="BM336" s="226"/>
      <c r="BN336" s="226"/>
      <c r="BQ336" s="228"/>
      <c r="BR336" s="229"/>
      <c r="BS336" s="226"/>
    </row>
    <row r="337" spans="1:71" s="103" customFormat="1" hidden="1" outlineLevel="1" x14ac:dyDescent="0.35">
      <c r="A337" s="499"/>
      <c r="B337" s="470"/>
      <c r="C337" s="122" t="s">
        <v>74</v>
      </c>
      <c r="D337" s="122" t="s">
        <v>75</v>
      </c>
      <c r="E337" s="185"/>
      <c r="F337" s="185"/>
      <c r="G337" s="494"/>
      <c r="H337" s="497"/>
      <c r="I337" s="189"/>
      <c r="J337" s="189"/>
      <c r="K337" s="476"/>
      <c r="L337" s="454"/>
      <c r="M337" s="459"/>
      <c r="N337" s="125">
        <f t="shared" si="187"/>
        <v>0</v>
      </c>
      <c r="O337" s="125">
        <f t="shared" si="187"/>
        <v>0</v>
      </c>
      <c r="P337" s="125">
        <f t="shared" si="192"/>
        <v>0</v>
      </c>
      <c r="Q337" s="125">
        <f>Q336</f>
        <v>0</v>
      </c>
      <c r="R337" s="454"/>
      <c r="S337" s="448"/>
      <c r="T337" s="124"/>
      <c r="U337" s="124"/>
      <c r="V337" s="124"/>
      <c r="W337" s="124"/>
      <c r="X337" s="123">
        <f t="shared" si="188"/>
        <v>0</v>
      </c>
      <c r="Y337" s="124"/>
      <c r="Z337" s="124">
        <f t="shared" si="189"/>
        <v>0</v>
      </c>
      <c r="AA337" s="124">
        <f t="shared" si="189"/>
        <v>0</v>
      </c>
      <c r="AB337" s="124"/>
      <c r="AC337" s="124"/>
      <c r="AD337" s="124"/>
      <c r="AE337" s="124"/>
      <c r="AF337" s="124"/>
      <c r="AG337" s="123">
        <f t="shared" si="190"/>
        <v>0</v>
      </c>
      <c r="AH337" s="124"/>
      <c r="AI337" s="123"/>
      <c r="AJ337" s="123">
        <f>AI337*1.12</f>
        <v>0</v>
      </c>
      <c r="AK337" s="123"/>
      <c r="AL337" s="126" t="str">
        <f t="shared" si="167"/>
        <v/>
      </c>
      <c r="AM337" s="127"/>
      <c r="AN337" s="127">
        <f>AF337</f>
        <v>0</v>
      </c>
      <c r="AO337" s="127"/>
      <c r="AP337" s="123">
        <f>AF337</f>
        <v>0</v>
      </c>
      <c r="AQ337" s="123">
        <f t="shared" si="191"/>
        <v>0</v>
      </c>
      <c r="AR337" s="123"/>
      <c r="AS337" s="123"/>
      <c r="AT337" s="123"/>
      <c r="AU337" s="123"/>
      <c r="AV337" s="123"/>
      <c r="AW337" s="123"/>
      <c r="AX337" s="123"/>
      <c r="AY337" s="123"/>
      <c r="AZ337" s="123"/>
      <c r="BA337" s="123"/>
      <c r="BB337" s="123"/>
      <c r="BC337" s="123"/>
      <c r="BD337" s="123"/>
      <c r="BE337" s="123"/>
      <c r="BF337" s="123"/>
      <c r="BG337" s="106"/>
      <c r="BH337" s="106"/>
      <c r="BI337" s="106"/>
      <c r="BJ337" s="106"/>
      <c r="BK337" s="106"/>
      <c r="BL337" s="106"/>
      <c r="BM337" s="106"/>
      <c r="BN337" s="106"/>
      <c r="BQ337" s="29"/>
      <c r="BR337" s="107"/>
      <c r="BS337" s="106"/>
    </row>
    <row r="338" spans="1:71" ht="14.5" hidden="1" outlineLevel="1" x14ac:dyDescent="0.35">
      <c r="A338" s="499"/>
      <c r="B338" s="470"/>
      <c r="C338" s="129" t="s">
        <v>74</v>
      </c>
      <c r="D338" s="129" t="s">
        <v>76</v>
      </c>
      <c r="E338" s="187"/>
      <c r="F338" s="187"/>
      <c r="G338" s="494"/>
      <c r="H338" s="497"/>
      <c r="I338" s="191"/>
      <c r="J338" s="191"/>
      <c r="K338" s="476"/>
      <c r="L338" s="454"/>
      <c r="M338" s="459"/>
      <c r="N338" s="132">
        <f t="shared" si="187"/>
        <v>0</v>
      </c>
      <c r="O338" s="132">
        <f t="shared" si="187"/>
        <v>0</v>
      </c>
      <c r="P338" s="132">
        <f t="shared" si="192"/>
        <v>0</v>
      </c>
      <c r="Q338" s="132">
        <f>Q337</f>
        <v>0</v>
      </c>
      <c r="R338" s="454"/>
      <c r="S338" s="448"/>
      <c r="T338" s="131"/>
      <c r="U338" s="131"/>
      <c r="V338" s="131"/>
      <c r="W338" s="131">
        <f>W337</f>
        <v>0</v>
      </c>
      <c r="X338" s="130">
        <f t="shared" si="188"/>
        <v>0</v>
      </c>
      <c r="Y338" s="131"/>
      <c r="Z338" s="131">
        <f t="shared" si="189"/>
        <v>0</v>
      </c>
      <c r="AA338" s="131">
        <f t="shared" si="189"/>
        <v>0</v>
      </c>
      <c r="AB338" s="131"/>
      <c r="AC338" s="131"/>
      <c r="AD338" s="131"/>
      <c r="AE338" s="131"/>
      <c r="AF338" s="131">
        <f>AF337</f>
        <v>0</v>
      </c>
      <c r="AG338" s="130">
        <f t="shared" si="190"/>
        <v>0</v>
      </c>
      <c r="AH338" s="131"/>
      <c r="AI338" s="130">
        <f>AI337</f>
        <v>0</v>
      </c>
      <c r="AJ338" s="130">
        <f>AJ337</f>
        <v>0</v>
      </c>
      <c r="AK338" s="130"/>
      <c r="AL338" s="133" t="str">
        <f t="shared" si="167"/>
        <v/>
      </c>
      <c r="AM338" s="134"/>
      <c r="AN338" s="134">
        <f>AF338</f>
        <v>0</v>
      </c>
      <c r="AO338" s="134"/>
      <c r="AP338" s="130">
        <f>AF338</f>
        <v>0</v>
      </c>
      <c r="AQ338" s="130">
        <f t="shared" si="191"/>
        <v>0</v>
      </c>
      <c r="AR338" s="130"/>
      <c r="AS338" s="130"/>
      <c r="AT338" s="130"/>
      <c r="AU338" s="130"/>
      <c r="AV338" s="130"/>
      <c r="AW338" s="130"/>
      <c r="AX338" s="130"/>
      <c r="AY338" s="130"/>
      <c r="AZ338" s="130"/>
      <c r="BA338" s="130"/>
      <c r="BB338" s="130"/>
      <c r="BC338" s="130"/>
      <c r="BD338" s="130"/>
      <c r="BE338" s="130"/>
      <c r="BF338" s="130"/>
      <c r="BG338" s="31"/>
      <c r="BH338" s="31"/>
      <c r="BI338" s="31"/>
      <c r="BJ338" s="31"/>
      <c r="BK338" s="31"/>
      <c r="BL338" s="31"/>
      <c r="BM338" s="31"/>
      <c r="BN338" s="31"/>
      <c r="BQ338" s="27"/>
      <c r="BR338" s="28"/>
      <c r="BS338" s="31"/>
    </row>
    <row r="339" spans="1:71" s="227" customFormat="1" hidden="1" outlineLevel="1" x14ac:dyDescent="0.35">
      <c r="A339" s="499"/>
      <c r="B339" s="470"/>
      <c r="C339" s="217" t="s">
        <v>72</v>
      </c>
      <c r="D339" s="217" t="s">
        <v>73</v>
      </c>
      <c r="E339" s="218"/>
      <c r="F339" s="218"/>
      <c r="G339" s="494"/>
      <c r="H339" s="497"/>
      <c r="I339" s="219"/>
      <c r="J339" s="219"/>
      <c r="K339" s="476"/>
      <c r="L339" s="454"/>
      <c r="M339" s="459" t="s">
        <v>113</v>
      </c>
      <c r="N339" s="220">
        <f t="shared" si="187"/>
        <v>0</v>
      </c>
      <c r="O339" s="220">
        <f t="shared" si="187"/>
        <v>0</v>
      </c>
      <c r="P339" s="220">
        <f t="shared" si="192"/>
        <v>0</v>
      </c>
      <c r="Q339" s="220"/>
      <c r="R339" s="454"/>
      <c r="S339" s="448"/>
      <c r="T339" s="221"/>
      <c r="U339" s="221"/>
      <c r="V339" s="221"/>
      <c r="W339" s="221"/>
      <c r="X339" s="222">
        <f t="shared" si="188"/>
        <v>0</v>
      </c>
      <c r="Y339" s="221"/>
      <c r="Z339" s="221">
        <f t="shared" si="189"/>
        <v>0</v>
      </c>
      <c r="AA339" s="221">
        <f t="shared" si="189"/>
        <v>0</v>
      </c>
      <c r="AB339" s="221">
        <f t="shared" si="189"/>
        <v>0</v>
      </c>
      <c r="AC339" s="221"/>
      <c r="AD339" s="221"/>
      <c r="AE339" s="221"/>
      <c r="AF339" s="221"/>
      <c r="AG339" s="222">
        <f t="shared" si="190"/>
        <v>0</v>
      </c>
      <c r="AH339" s="221"/>
      <c r="AI339" s="222"/>
      <c r="AJ339" s="222">
        <f>AI339*1.12</f>
        <v>0</v>
      </c>
      <c r="AK339" s="218">
        <f>AH339-AE339</f>
        <v>0</v>
      </c>
      <c r="AL339" s="223" t="str">
        <f t="shared" si="167"/>
        <v/>
      </c>
      <c r="AM339" s="224"/>
      <c r="AN339" s="224"/>
      <c r="AO339" s="224"/>
      <c r="AP339" s="222"/>
      <c r="AQ339" s="222">
        <f t="shared" si="191"/>
        <v>0</v>
      </c>
      <c r="AR339" s="222"/>
      <c r="AS339" s="222"/>
      <c r="AT339" s="222"/>
      <c r="AU339" s="222"/>
      <c r="AV339" s="222"/>
      <c r="AW339" s="222"/>
      <c r="AX339" s="222"/>
      <c r="AY339" s="222"/>
      <c r="AZ339" s="218"/>
      <c r="BA339" s="222"/>
      <c r="BB339" s="222"/>
      <c r="BC339" s="222"/>
      <c r="BD339" s="222"/>
      <c r="BE339" s="222"/>
      <c r="BF339" s="222"/>
      <c r="BG339" s="226"/>
      <c r="BH339" s="226"/>
      <c r="BI339" s="226"/>
      <c r="BJ339" s="226"/>
      <c r="BK339" s="226"/>
      <c r="BL339" s="226"/>
      <c r="BM339" s="226"/>
      <c r="BN339" s="226"/>
      <c r="BQ339" s="228"/>
      <c r="BR339" s="229"/>
      <c r="BS339" s="226"/>
    </row>
    <row r="340" spans="1:71" s="103" customFormat="1" hidden="1" outlineLevel="1" x14ac:dyDescent="0.35">
      <c r="A340" s="499"/>
      <c r="B340" s="470"/>
      <c r="C340" s="122" t="s">
        <v>74</v>
      </c>
      <c r="D340" s="122" t="s">
        <v>75</v>
      </c>
      <c r="E340" s="185"/>
      <c r="F340" s="185"/>
      <c r="G340" s="494"/>
      <c r="H340" s="497"/>
      <c r="I340" s="189"/>
      <c r="J340" s="189"/>
      <c r="K340" s="476"/>
      <c r="L340" s="454"/>
      <c r="M340" s="459"/>
      <c r="N340" s="125">
        <f t="shared" si="187"/>
        <v>0</v>
      </c>
      <c r="O340" s="125">
        <f t="shared" si="187"/>
        <v>0</v>
      </c>
      <c r="P340" s="125">
        <f t="shared" si="192"/>
        <v>0</v>
      </c>
      <c r="Q340" s="125">
        <f>Q339</f>
        <v>0</v>
      </c>
      <c r="R340" s="454"/>
      <c r="S340" s="448"/>
      <c r="T340" s="124"/>
      <c r="U340" s="124"/>
      <c r="V340" s="124"/>
      <c r="W340" s="124"/>
      <c r="X340" s="123">
        <f t="shared" si="188"/>
        <v>0</v>
      </c>
      <c r="Y340" s="124"/>
      <c r="Z340" s="124">
        <f t="shared" si="189"/>
        <v>0</v>
      </c>
      <c r="AA340" s="124">
        <f t="shared" si="189"/>
        <v>0</v>
      </c>
      <c r="AB340" s="124"/>
      <c r="AC340" s="124"/>
      <c r="AD340" s="124"/>
      <c r="AE340" s="124"/>
      <c r="AF340" s="124"/>
      <c r="AG340" s="123">
        <f t="shared" si="190"/>
        <v>0</v>
      </c>
      <c r="AH340" s="124"/>
      <c r="AI340" s="123"/>
      <c r="AJ340" s="123">
        <f>AI340*1.12</f>
        <v>0</v>
      </c>
      <c r="AK340" s="123"/>
      <c r="AL340" s="126" t="str">
        <f t="shared" si="167"/>
        <v/>
      </c>
      <c r="AM340" s="127"/>
      <c r="AN340" s="127">
        <f>AF340</f>
        <v>0</v>
      </c>
      <c r="AO340" s="127"/>
      <c r="AP340" s="123">
        <f>AF340</f>
        <v>0</v>
      </c>
      <c r="AQ340" s="123">
        <f t="shared" si="191"/>
        <v>0</v>
      </c>
      <c r="AR340" s="123"/>
      <c r="AS340" s="123"/>
      <c r="AT340" s="123"/>
      <c r="AU340" s="123"/>
      <c r="AV340" s="123"/>
      <c r="AW340" s="123"/>
      <c r="AX340" s="123"/>
      <c r="AY340" s="123"/>
      <c r="AZ340" s="123"/>
      <c r="BA340" s="123"/>
      <c r="BB340" s="123"/>
      <c r="BC340" s="123"/>
      <c r="BD340" s="123"/>
      <c r="BE340" s="123"/>
      <c r="BF340" s="123"/>
      <c r="BG340" s="106"/>
      <c r="BH340" s="106"/>
      <c r="BI340" s="106"/>
      <c r="BJ340" s="106"/>
      <c r="BK340" s="106"/>
      <c r="BL340" s="106"/>
      <c r="BM340" s="106"/>
      <c r="BN340" s="106"/>
      <c r="BQ340" s="29"/>
      <c r="BR340" s="107"/>
      <c r="BS340" s="106"/>
    </row>
    <row r="341" spans="1:71" ht="14.5" hidden="1" outlineLevel="1" x14ac:dyDescent="0.35">
      <c r="A341" s="499"/>
      <c r="B341" s="470"/>
      <c r="C341" s="129" t="s">
        <v>74</v>
      </c>
      <c r="D341" s="129" t="s">
        <v>76</v>
      </c>
      <c r="E341" s="187"/>
      <c r="F341" s="187"/>
      <c r="G341" s="494"/>
      <c r="H341" s="497"/>
      <c r="I341" s="191"/>
      <c r="J341" s="191"/>
      <c r="K341" s="476"/>
      <c r="L341" s="454"/>
      <c r="M341" s="459"/>
      <c r="N341" s="132">
        <f t="shared" si="187"/>
        <v>0</v>
      </c>
      <c r="O341" s="132">
        <f t="shared" si="187"/>
        <v>0</v>
      </c>
      <c r="P341" s="132">
        <f t="shared" si="192"/>
        <v>0</v>
      </c>
      <c r="Q341" s="132">
        <f>Q340</f>
        <v>0</v>
      </c>
      <c r="R341" s="454"/>
      <c r="S341" s="448"/>
      <c r="T341" s="131"/>
      <c r="U341" s="131"/>
      <c r="V341" s="131"/>
      <c r="W341" s="131">
        <f>W340</f>
        <v>0</v>
      </c>
      <c r="X341" s="130">
        <f t="shared" si="188"/>
        <v>0</v>
      </c>
      <c r="Y341" s="131"/>
      <c r="Z341" s="131">
        <f t="shared" si="189"/>
        <v>0</v>
      </c>
      <c r="AA341" s="131">
        <f t="shared" si="189"/>
        <v>0</v>
      </c>
      <c r="AB341" s="131"/>
      <c r="AC341" s="131"/>
      <c r="AD341" s="131"/>
      <c r="AE341" s="131"/>
      <c r="AF341" s="131">
        <f>AF340</f>
        <v>0</v>
      </c>
      <c r="AG341" s="130">
        <f t="shared" si="190"/>
        <v>0</v>
      </c>
      <c r="AH341" s="131"/>
      <c r="AI341" s="130">
        <f>AI340</f>
        <v>0</v>
      </c>
      <c r="AJ341" s="130">
        <f>AJ340</f>
        <v>0</v>
      </c>
      <c r="AK341" s="130"/>
      <c r="AL341" s="133" t="str">
        <f t="shared" si="167"/>
        <v/>
      </c>
      <c r="AM341" s="134"/>
      <c r="AN341" s="134">
        <f>AF341</f>
        <v>0</v>
      </c>
      <c r="AO341" s="134"/>
      <c r="AP341" s="130">
        <f>AF341</f>
        <v>0</v>
      </c>
      <c r="AQ341" s="130">
        <f t="shared" si="191"/>
        <v>0</v>
      </c>
      <c r="AR341" s="130"/>
      <c r="AS341" s="130"/>
      <c r="AT341" s="130"/>
      <c r="AU341" s="130"/>
      <c r="AV341" s="130"/>
      <c r="AW341" s="130"/>
      <c r="AX341" s="130"/>
      <c r="AY341" s="130"/>
      <c r="AZ341" s="130"/>
      <c r="BA341" s="130"/>
      <c r="BB341" s="130"/>
      <c r="BC341" s="130"/>
      <c r="BD341" s="130"/>
      <c r="BE341" s="130"/>
      <c r="BF341" s="130"/>
      <c r="BG341" s="31"/>
      <c r="BH341" s="31"/>
      <c r="BI341" s="31"/>
      <c r="BJ341" s="31"/>
      <c r="BK341" s="31"/>
      <c r="BL341" s="31"/>
      <c r="BM341" s="31"/>
      <c r="BN341" s="31"/>
      <c r="BQ341" s="27"/>
      <c r="BR341" s="28"/>
      <c r="BS341" s="31"/>
    </row>
    <row r="342" spans="1:71" s="227" customFormat="1" hidden="1" outlineLevel="1" x14ac:dyDescent="0.35">
      <c r="A342" s="499"/>
      <c r="B342" s="470"/>
      <c r="C342" s="217" t="s">
        <v>72</v>
      </c>
      <c r="D342" s="217" t="s">
        <v>73</v>
      </c>
      <c r="E342" s="218"/>
      <c r="F342" s="218"/>
      <c r="G342" s="494"/>
      <c r="H342" s="497"/>
      <c r="I342" s="219"/>
      <c r="J342" s="219"/>
      <c r="K342" s="476"/>
      <c r="L342" s="454"/>
      <c r="M342" s="459" t="s">
        <v>113</v>
      </c>
      <c r="N342" s="220">
        <f t="shared" si="187"/>
        <v>0</v>
      </c>
      <c r="O342" s="220">
        <f t="shared" si="187"/>
        <v>0</v>
      </c>
      <c r="P342" s="220">
        <f t="shared" si="192"/>
        <v>0</v>
      </c>
      <c r="Q342" s="220"/>
      <c r="R342" s="454"/>
      <c r="S342" s="448"/>
      <c r="T342" s="221"/>
      <c r="U342" s="221"/>
      <c r="V342" s="221"/>
      <c r="W342" s="221"/>
      <c r="X342" s="222">
        <f t="shared" si="188"/>
        <v>0</v>
      </c>
      <c r="Y342" s="221"/>
      <c r="Z342" s="221">
        <f t="shared" si="189"/>
        <v>0</v>
      </c>
      <c r="AA342" s="221">
        <f t="shared" si="189"/>
        <v>0</v>
      </c>
      <c r="AB342" s="221">
        <f t="shared" si="189"/>
        <v>0</v>
      </c>
      <c r="AC342" s="221"/>
      <c r="AD342" s="221"/>
      <c r="AE342" s="221"/>
      <c r="AF342" s="221"/>
      <c r="AG342" s="222">
        <f t="shared" si="190"/>
        <v>0</v>
      </c>
      <c r="AH342" s="221"/>
      <c r="AI342" s="222"/>
      <c r="AJ342" s="222">
        <f>AI342*1.12</f>
        <v>0</v>
      </c>
      <c r="AK342" s="218">
        <f>AH342-AE342</f>
        <v>0</v>
      </c>
      <c r="AL342" s="223" t="str">
        <f t="shared" si="167"/>
        <v/>
      </c>
      <c r="AM342" s="224"/>
      <c r="AN342" s="224"/>
      <c r="AO342" s="224"/>
      <c r="AP342" s="222"/>
      <c r="AQ342" s="222">
        <f t="shared" si="191"/>
        <v>0</v>
      </c>
      <c r="AR342" s="222"/>
      <c r="AS342" s="222"/>
      <c r="AT342" s="222"/>
      <c r="AU342" s="222"/>
      <c r="AV342" s="222"/>
      <c r="AW342" s="222"/>
      <c r="AX342" s="222"/>
      <c r="AY342" s="222"/>
      <c r="AZ342" s="225"/>
      <c r="BA342" s="222"/>
      <c r="BB342" s="222"/>
      <c r="BC342" s="222"/>
      <c r="BD342" s="222"/>
      <c r="BE342" s="222"/>
      <c r="BF342" s="222"/>
      <c r="BG342" s="226"/>
      <c r="BH342" s="226"/>
      <c r="BI342" s="226"/>
      <c r="BJ342" s="226"/>
      <c r="BK342" s="226"/>
      <c r="BL342" s="226"/>
      <c r="BM342" s="226"/>
      <c r="BN342" s="226"/>
      <c r="BQ342" s="228"/>
      <c r="BR342" s="229"/>
      <c r="BS342" s="226"/>
    </row>
    <row r="343" spans="1:71" s="103" customFormat="1" hidden="1" outlineLevel="1" x14ac:dyDescent="0.35">
      <c r="A343" s="499"/>
      <c r="B343" s="470"/>
      <c r="C343" s="122" t="s">
        <v>74</v>
      </c>
      <c r="D343" s="122" t="s">
        <v>75</v>
      </c>
      <c r="E343" s="185"/>
      <c r="F343" s="185"/>
      <c r="G343" s="494"/>
      <c r="H343" s="497"/>
      <c r="I343" s="189"/>
      <c r="J343" s="189"/>
      <c r="K343" s="476"/>
      <c r="L343" s="454"/>
      <c r="M343" s="459"/>
      <c r="N343" s="125">
        <f t="shared" si="187"/>
        <v>0</v>
      </c>
      <c r="O343" s="125">
        <f t="shared" si="187"/>
        <v>0</v>
      </c>
      <c r="P343" s="125">
        <f t="shared" si="192"/>
        <v>0</v>
      </c>
      <c r="Q343" s="125">
        <f>Q342</f>
        <v>0</v>
      </c>
      <c r="R343" s="454"/>
      <c r="S343" s="448"/>
      <c r="T343" s="124"/>
      <c r="U343" s="124"/>
      <c r="V343" s="124"/>
      <c r="W343" s="124"/>
      <c r="X343" s="123">
        <f t="shared" si="188"/>
        <v>0</v>
      </c>
      <c r="Y343" s="124"/>
      <c r="Z343" s="124">
        <f t="shared" si="189"/>
        <v>0</v>
      </c>
      <c r="AA343" s="124">
        <f t="shared" si="189"/>
        <v>0</v>
      </c>
      <c r="AB343" s="124"/>
      <c r="AC343" s="124"/>
      <c r="AD343" s="124"/>
      <c r="AE343" s="124"/>
      <c r="AF343" s="124"/>
      <c r="AG343" s="123">
        <f t="shared" si="190"/>
        <v>0</v>
      </c>
      <c r="AH343" s="124"/>
      <c r="AI343" s="123"/>
      <c r="AJ343" s="123">
        <f>AI343*1.12</f>
        <v>0</v>
      </c>
      <c r="AK343" s="123"/>
      <c r="AL343" s="126" t="str">
        <f t="shared" si="167"/>
        <v/>
      </c>
      <c r="AM343" s="127"/>
      <c r="AN343" s="127">
        <f>AF343</f>
        <v>0</v>
      </c>
      <c r="AO343" s="127"/>
      <c r="AP343" s="123">
        <f>AF343</f>
        <v>0</v>
      </c>
      <c r="AQ343" s="123">
        <f t="shared" si="191"/>
        <v>0</v>
      </c>
      <c r="AR343" s="123"/>
      <c r="AS343" s="123"/>
      <c r="AT343" s="123"/>
      <c r="AU343" s="123"/>
      <c r="AV343" s="123"/>
      <c r="AW343" s="123"/>
      <c r="AX343" s="123"/>
      <c r="AY343" s="123"/>
      <c r="AZ343" s="123"/>
      <c r="BA343" s="123"/>
      <c r="BB343" s="123"/>
      <c r="BC343" s="123"/>
      <c r="BD343" s="123"/>
      <c r="BE343" s="123"/>
      <c r="BF343" s="123"/>
      <c r="BG343" s="106"/>
      <c r="BH343" s="106"/>
      <c r="BI343" s="106"/>
      <c r="BJ343" s="106"/>
      <c r="BK343" s="106"/>
      <c r="BL343" s="106"/>
      <c r="BM343" s="106"/>
      <c r="BN343" s="106"/>
      <c r="BQ343" s="29"/>
      <c r="BR343" s="107"/>
      <c r="BS343" s="106"/>
    </row>
    <row r="344" spans="1:71" ht="14.5" hidden="1" outlineLevel="1" x14ac:dyDescent="0.35">
      <c r="A344" s="499"/>
      <c r="B344" s="470"/>
      <c r="C344" s="129" t="s">
        <v>74</v>
      </c>
      <c r="D344" s="129" t="s">
        <v>76</v>
      </c>
      <c r="E344" s="187"/>
      <c r="F344" s="187"/>
      <c r="G344" s="494"/>
      <c r="H344" s="497"/>
      <c r="I344" s="191"/>
      <c r="J344" s="191"/>
      <c r="K344" s="476"/>
      <c r="L344" s="454"/>
      <c r="M344" s="459"/>
      <c r="N344" s="132">
        <f t="shared" si="187"/>
        <v>0</v>
      </c>
      <c r="O344" s="132">
        <f t="shared" si="187"/>
        <v>0</v>
      </c>
      <c r="P344" s="132">
        <f t="shared" si="192"/>
        <v>0</v>
      </c>
      <c r="Q344" s="132">
        <f>Q343</f>
        <v>0</v>
      </c>
      <c r="R344" s="454"/>
      <c r="S344" s="448"/>
      <c r="T344" s="131"/>
      <c r="U344" s="131"/>
      <c r="V344" s="131"/>
      <c r="W344" s="131">
        <f>W343</f>
        <v>0</v>
      </c>
      <c r="X344" s="130">
        <f t="shared" si="188"/>
        <v>0</v>
      </c>
      <c r="Y344" s="131"/>
      <c r="Z344" s="131">
        <f t="shared" si="189"/>
        <v>0</v>
      </c>
      <c r="AA344" s="131">
        <f t="shared" si="189"/>
        <v>0</v>
      </c>
      <c r="AB344" s="131"/>
      <c r="AC344" s="131"/>
      <c r="AD344" s="131"/>
      <c r="AE344" s="131"/>
      <c r="AF344" s="131">
        <f>AF343</f>
        <v>0</v>
      </c>
      <c r="AG344" s="130">
        <f t="shared" si="190"/>
        <v>0</v>
      </c>
      <c r="AH344" s="131"/>
      <c r="AI344" s="130">
        <f>AI343</f>
        <v>0</v>
      </c>
      <c r="AJ344" s="130">
        <f>AJ343</f>
        <v>0</v>
      </c>
      <c r="AK344" s="130"/>
      <c r="AL344" s="133" t="str">
        <f t="shared" si="167"/>
        <v/>
      </c>
      <c r="AM344" s="134"/>
      <c r="AN344" s="134">
        <f>AF344</f>
        <v>0</v>
      </c>
      <c r="AO344" s="134"/>
      <c r="AP344" s="130">
        <f>AF344</f>
        <v>0</v>
      </c>
      <c r="AQ344" s="130">
        <f t="shared" si="191"/>
        <v>0</v>
      </c>
      <c r="AR344" s="130"/>
      <c r="AS344" s="130"/>
      <c r="AT344" s="130"/>
      <c r="AU344" s="130"/>
      <c r="AV344" s="130"/>
      <c r="AW344" s="130"/>
      <c r="AX344" s="130"/>
      <c r="AY344" s="130"/>
      <c r="AZ344" s="130"/>
      <c r="BA344" s="130"/>
      <c r="BB344" s="130"/>
      <c r="BC344" s="130"/>
      <c r="BD344" s="130"/>
      <c r="BE344" s="130"/>
      <c r="BF344" s="130"/>
      <c r="BG344" s="31"/>
      <c r="BH344" s="31"/>
      <c r="BI344" s="31"/>
      <c r="BJ344" s="31"/>
      <c r="BK344" s="31"/>
      <c r="BL344" s="31"/>
      <c r="BM344" s="31"/>
      <c r="BN344" s="31"/>
      <c r="BQ344" s="27"/>
      <c r="BR344" s="28"/>
      <c r="BS344" s="31"/>
    </row>
    <row r="345" spans="1:71" s="227" customFormat="1" hidden="1" outlineLevel="1" x14ac:dyDescent="0.35">
      <c r="A345" s="499"/>
      <c r="B345" s="470"/>
      <c r="C345" s="217" t="s">
        <v>72</v>
      </c>
      <c r="D345" s="217" t="s">
        <v>73</v>
      </c>
      <c r="E345" s="218"/>
      <c r="F345" s="218"/>
      <c r="G345" s="494"/>
      <c r="H345" s="497"/>
      <c r="I345" s="219"/>
      <c r="J345" s="219"/>
      <c r="K345" s="476"/>
      <c r="L345" s="454"/>
      <c r="M345" s="459" t="s">
        <v>113</v>
      </c>
      <c r="N345" s="220">
        <f t="shared" si="187"/>
        <v>0</v>
      </c>
      <c r="O345" s="220">
        <f t="shared" si="187"/>
        <v>0</v>
      </c>
      <c r="P345" s="220">
        <f t="shared" si="192"/>
        <v>0</v>
      </c>
      <c r="Q345" s="220"/>
      <c r="R345" s="454"/>
      <c r="S345" s="448"/>
      <c r="T345" s="221"/>
      <c r="U345" s="221"/>
      <c r="V345" s="221"/>
      <c r="W345" s="221"/>
      <c r="X345" s="222">
        <f t="shared" si="188"/>
        <v>0</v>
      </c>
      <c r="Y345" s="221"/>
      <c r="Z345" s="221">
        <f t="shared" si="189"/>
        <v>0</v>
      </c>
      <c r="AA345" s="221">
        <f t="shared" si="189"/>
        <v>0</v>
      </c>
      <c r="AB345" s="221">
        <f t="shared" si="189"/>
        <v>0</v>
      </c>
      <c r="AC345" s="221"/>
      <c r="AD345" s="221"/>
      <c r="AE345" s="221"/>
      <c r="AF345" s="221"/>
      <c r="AG345" s="222">
        <f t="shared" si="190"/>
        <v>0</v>
      </c>
      <c r="AH345" s="221"/>
      <c r="AI345" s="222"/>
      <c r="AJ345" s="222">
        <f>AI345*1.12</f>
        <v>0</v>
      </c>
      <c r="AK345" s="218">
        <f>AH345-AE345</f>
        <v>0</v>
      </c>
      <c r="AL345" s="223" t="str">
        <f t="shared" si="167"/>
        <v/>
      </c>
      <c r="AM345" s="224"/>
      <c r="AN345" s="224"/>
      <c r="AO345" s="224"/>
      <c r="AP345" s="222"/>
      <c r="AQ345" s="222">
        <f t="shared" si="191"/>
        <v>0</v>
      </c>
      <c r="AR345" s="222"/>
      <c r="AS345" s="222"/>
      <c r="AT345" s="222"/>
      <c r="AU345" s="222"/>
      <c r="AV345" s="222"/>
      <c r="AW345" s="222"/>
      <c r="AX345" s="222"/>
      <c r="AY345" s="222"/>
      <c r="AZ345" s="225"/>
      <c r="BA345" s="222"/>
      <c r="BB345" s="222"/>
      <c r="BC345" s="222"/>
      <c r="BD345" s="222"/>
      <c r="BE345" s="222"/>
      <c r="BF345" s="222"/>
      <c r="BG345" s="226"/>
      <c r="BH345" s="226"/>
      <c r="BI345" s="226"/>
      <c r="BJ345" s="226"/>
      <c r="BK345" s="226"/>
      <c r="BL345" s="226"/>
      <c r="BM345" s="226"/>
      <c r="BN345" s="226"/>
      <c r="BQ345" s="228"/>
      <c r="BR345" s="229"/>
      <c r="BS345" s="226"/>
    </row>
    <row r="346" spans="1:71" s="103" customFormat="1" hidden="1" outlineLevel="1" x14ac:dyDescent="0.35">
      <c r="A346" s="499"/>
      <c r="B346" s="470"/>
      <c r="C346" s="122" t="s">
        <v>74</v>
      </c>
      <c r="D346" s="122" t="s">
        <v>75</v>
      </c>
      <c r="E346" s="185"/>
      <c r="F346" s="185"/>
      <c r="G346" s="494"/>
      <c r="H346" s="497"/>
      <c r="I346" s="189"/>
      <c r="J346" s="189"/>
      <c r="K346" s="476"/>
      <c r="L346" s="454"/>
      <c r="M346" s="459"/>
      <c r="N346" s="125">
        <f t="shared" si="187"/>
        <v>0</v>
      </c>
      <c r="O346" s="125">
        <f t="shared" si="187"/>
        <v>0</v>
      </c>
      <c r="P346" s="125">
        <f t="shared" si="192"/>
        <v>0</v>
      </c>
      <c r="Q346" s="125">
        <f>Q345</f>
        <v>0</v>
      </c>
      <c r="R346" s="454"/>
      <c r="S346" s="448"/>
      <c r="T346" s="124"/>
      <c r="U346" s="124"/>
      <c r="V346" s="124"/>
      <c r="W346" s="124"/>
      <c r="X346" s="123">
        <f t="shared" si="188"/>
        <v>0</v>
      </c>
      <c r="Y346" s="124"/>
      <c r="Z346" s="124">
        <f t="shared" si="189"/>
        <v>0</v>
      </c>
      <c r="AA346" s="124">
        <f t="shared" si="189"/>
        <v>0</v>
      </c>
      <c r="AB346" s="124"/>
      <c r="AC346" s="124"/>
      <c r="AD346" s="124"/>
      <c r="AE346" s="124"/>
      <c r="AF346" s="124"/>
      <c r="AG346" s="123">
        <f t="shared" si="190"/>
        <v>0</v>
      </c>
      <c r="AH346" s="124"/>
      <c r="AI346" s="123"/>
      <c r="AJ346" s="123">
        <f>AI346*1.12</f>
        <v>0</v>
      </c>
      <c r="AK346" s="123"/>
      <c r="AL346" s="126" t="str">
        <f t="shared" si="167"/>
        <v/>
      </c>
      <c r="AM346" s="127"/>
      <c r="AN346" s="127">
        <f>AF346</f>
        <v>0</v>
      </c>
      <c r="AO346" s="127"/>
      <c r="AP346" s="123">
        <f>AF346</f>
        <v>0</v>
      </c>
      <c r="AQ346" s="123">
        <f t="shared" si="191"/>
        <v>0</v>
      </c>
      <c r="AR346" s="123"/>
      <c r="AS346" s="123"/>
      <c r="AT346" s="123"/>
      <c r="AU346" s="123"/>
      <c r="AV346" s="123"/>
      <c r="AW346" s="123"/>
      <c r="AX346" s="123"/>
      <c r="AY346" s="123"/>
      <c r="AZ346" s="123"/>
      <c r="BA346" s="123"/>
      <c r="BB346" s="123"/>
      <c r="BC346" s="123"/>
      <c r="BD346" s="123"/>
      <c r="BE346" s="123"/>
      <c r="BF346" s="123"/>
      <c r="BG346" s="106"/>
      <c r="BH346" s="106"/>
      <c r="BI346" s="106"/>
      <c r="BJ346" s="106"/>
      <c r="BK346" s="106"/>
      <c r="BL346" s="106"/>
      <c r="BM346" s="106"/>
      <c r="BN346" s="106"/>
      <c r="BQ346" s="29"/>
      <c r="BR346" s="107"/>
      <c r="BS346" s="106"/>
    </row>
    <row r="347" spans="1:71" ht="14.5" hidden="1" outlineLevel="1" x14ac:dyDescent="0.35">
      <c r="A347" s="499"/>
      <c r="B347" s="470"/>
      <c r="C347" s="129" t="s">
        <v>74</v>
      </c>
      <c r="D347" s="129" t="s">
        <v>76</v>
      </c>
      <c r="E347" s="187"/>
      <c r="F347" s="187"/>
      <c r="G347" s="494"/>
      <c r="H347" s="497"/>
      <c r="I347" s="191"/>
      <c r="J347" s="191"/>
      <c r="K347" s="476"/>
      <c r="L347" s="454"/>
      <c r="M347" s="459"/>
      <c r="N347" s="132">
        <f t="shared" si="187"/>
        <v>0</v>
      </c>
      <c r="O347" s="132">
        <f t="shared" si="187"/>
        <v>0</v>
      </c>
      <c r="P347" s="132">
        <f t="shared" si="192"/>
        <v>0</v>
      </c>
      <c r="Q347" s="132">
        <f>Q346</f>
        <v>0</v>
      </c>
      <c r="R347" s="454"/>
      <c r="S347" s="448"/>
      <c r="T347" s="131"/>
      <c r="U347" s="131"/>
      <c r="V347" s="131"/>
      <c r="W347" s="131">
        <f>W346</f>
        <v>0</v>
      </c>
      <c r="X347" s="130">
        <f t="shared" si="188"/>
        <v>0</v>
      </c>
      <c r="Y347" s="131"/>
      <c r="Z347" s="131">
        <f t="shared" si="189"/>
        <v>0</v>
      </c>
      <c r="AA347" s="131">
        <f t="shared" si="189"/>
        <v>0</v>
      </c>
      <c r="AB347" s="131"/>
      <c r="AC347" s="131"/>
      <c r="AD347" s="131"/>
      <c r="AE347" s="131"/>
      <c r="AF347" s="131">
        <f>AF346</f>
        <v>0</v>
      </c>
      <c r="AG347" s="130">
        <f t="shared" si="190"/>
        <v>0</v>
      </c>
      <c r="AH347" s="131"/>
      <c r="AI347" s="130">
        <f>AI346</f>
        <v>0</v>
      </c>
      <c r="AJ347" s="130">
        <f>AJ346</f>
        <v>0</v>
      </c>
      <c r="AK347" s="130"/>
      <c r="AL347" s="133" t="str">
        <f t="shared" si="167"/>
        <v/>
      </c>
      <c r="AM347" s="134"/>
      <c r="AN347" s="134">
        <f>AF347</f>
        <v>0</v>
      </c>
      <c r="AO347" s="134"/>
      <c r="AP347" s="130">
        <f>AF347</f>
        <v>0</v>
      </c>
      <c r="AQ347" s="130">
        <f t="shared" si="191"/>
        <v>0</v>
      </c>
      <c r="AR347" s="130"/>
      <c r="AS347" s="130"/>
      <c r="AT347" s="130"/>
      <c r="AU347" s="130"/>
      <c r="AV347" s="130"/>
      <c r="AW347" s="130"/>
      <c r="AX347" s="130"/>
      <c r="AY347" s="130"/>
      <c r="AZ347" s="130"/>
      <c r="BA347" s="130"/>
      <c r="BB347" s="130"/>
      <c r="BC347" s="130"/>
      <c r="BD347" s="130"/>
      <c r="BE347" s="130"/>
      <c r="BF347" s="130"/>
      <c r="BG347" s="31"/>
      <c r="BH347" s="31"/>
      <c r="BI347" s="31"/>
      <c r="BJ347" s="31"/>
      <c r="BK347" s="31"/>
      <c r="BL347" s="31"/>
      <c r="BM347" s="31"/>
      <c r="BN347" s="31"/>
      <c r="BQ347" s="27"/>
      <c r="BR347" s="28"/>
      <c r="BS347" s="31"/>
    </row>
    <row r="348" spans="1:71" s="227" customFormat="1" hidden="1" outlineLevel="1" x14ac:dyDescent="0.35">
      <c r="A348" s="499"/>
      <c r="B348" s="470"/>
      <c r="C348" s="217" t="s">
        <v>72</v>
      </c>
      <c r="D348" s="217" t="s">
        <v>73</v>
      </c>
      <c r="E348" s="218"/>
      <c r="F348" s="218"/>
      <c r="G348" s="494"/>
      <c r="H348" s="497"/>
      <c r="I348" s="219"/>
      <c r="J348" s="219"/>
      <c r="K348" s="476"/>
      <c r="L348" s="454"/>
      <c r="M348" s="459" t="s">
        <v>113</v>
      </c>
      <c r="N348" s="220">
        <f t="shared" si="187"/>
        <v>0</v>
      </c>
      <c r="O348" s="220">
        <f t="shared" si="187"/>
        <v>0</v>
      </c>
      <c r="P348" s="220">
        <f t="shared" si="192"/>
        <v>0</v>
      </c>
      <c r="Q348" s="220"/>
      <c r="R348" s="454"/>
      <c r="S348" s="448"/>
      <c r="T348" s="221"/>
      <c r="U348" s="221"/>
      <c r="V348" s="221"/>
      <c r="W348" s="221"/>
      <c r="X348" s="222">
        <f t="shared" si="188"/>
        <v>0</v>
      </c>
      <c r="Y348" s="221"/>
      <c r="Z348" s="221">
        <f t="shared" si="189"/>
        <v>0</v>
      </c>
      <c r="AA348" s="221">
        <f t="shared" si="189"/>
        <v>0</v>
      </c>
      <c r="AB348" s="221">
        <f t="shared" si="189"/>
        <v>0</v>
      </c>
      <c r="AC348" s="221"/>
      <c r="AD348" s="221"/>
      <c r="AE348" s="221"/>
      <c r="AF348" s="221"/>
      <c r="AG348" s="222">
        <f t="shared" si="190"/>
        <v>0</v>
      </c>
      <c r="AH348" s="221"/>
      <c r="AI348" s="222"/>
      <c r="AJ348" s="222">
        <f>AI348*1.12</f>
        <v>0</v>
      </c>
      <c r="AK348" s="218">
        <f>AH348-AE348</f>
        <v>0</v>
      </c>
      <c r="AL348" s="223" t="str">
        <f t="shared" si="167"/>
        <v/>
      </c>
      <c r="AM348" s="224"/>
      <c r="AN348" s="224"/>
      <c r="AO348" s="224"/>
      <c r="AP348" s="222"/>
      <c r="AQ348" s="222">
        <f t="shared" si="191"/>
        <v>0</v>
      </c>
      <c r="AR348" s="222"/>
      <c r="AS348" s="222"/>
      <c r="AT348" s="222"/>
      <c r="AU348" s="222"/>
      <c r="AV348" s="222"/>
      <c r="AW348" s="222"/>
      <c r="AX348" s="222"/>
      <c r="AY348" s="222"/>
      <c r="AZ348" s="225"/>
      <c r="BA348" s="222"/>
      <c r="BB348" s="222"/>
      <c r="BC348" s="222"/>
      <c r="BD348" s="222"/>
      <c r="BE348" s="222"/>
      <c r="BF348" s="222"/>
      <c r="BG348" s="226"/>
      <c r="BH348" s="226"/>
      <c r="BI348" s="226"/>
      <c r="BJ348" s="226"/>
      <c r="BK348" s="226"/>
      <c r="BL348" s="226"/>
      <c r="BM348" s="226"/>
      <c r="BN348" s="226"/>
      <c r="BQ348" s="228"/>
      <c r="BR348" s="229"/>
      <c r="BS348" s="226"/>
    </row>
    <row r="349" spans="1:71" s="103" customFormat="1" hidden="1" outlineLevel="1" x14ac:dyDescent="0.35">
      <c r="A349" s="499"/>
      <c r="B349" s="470"/>
      <c r="C349" s="122" t="s">
        <v>74</v>
      </c>
      <c r="D349" s="122" t="s">
        <v>75</v>
      </c>
      <c r="E349" s="185"/>
      <c r="F349" s="185"/>
      <c r="G349" s="494"/>
      <c r="H349" s="497"/>
      <c r="I349" s="189"/>
      <c r="J349" s="189"/>
      <c r="K349" s="476"/>
      <c r="L349" s="454"/>
      <c r="M349" s="459"/>
      <c r="N349" s="125">
        <f t="shared" si="187"/>
        <v>0</v>
      </c>
      <c r="O349" s="125">
        <f t="shared" si="187"/>
        <v>0</v>
      </c>
      <c r="P349" s="125">
        <f t="shared" si="192"/>
        <v>0</v>
      </c>
      <c r="Q349" s="125">
        <f>Q348</f>
        <v>0</v>
      </c>
      <c r="R349" s="454"/>
      <c r="S349" s="448"/>
      <c r="T349" s="124"/>
      <c r="U349" s="124"/>
      <c r="V349" s="124"/>
      <c r="W349" s="124"/>
      <c r="X349" s="123">
        <f t="shared" si="188"/>
        <v>0</v>
      </c>
      <c r="Y349" s="124"/>
      <c r="Z349" s="124">
        <f t="shared" si="189"/>
        <v>0</v>
      </c>
      <c r="AA349" s="124">
        <f t="shared" si="189"/>
        <v>0</v>
      </c>
      <c r="AB349" s="124"/>
      <c r="AC349" s="124"/>
      <c r="AD349" s="124"/>
      <c r="AE349" s="124"/>
      <c r="AF349" s="124"/>
      <c r="AG349" s="123">
        <f t="shared" si="190"/>
        <v>0</v>
      </c>
      <c r="AH349" s="124"/>
      <c r="AI349" s="123"/>
      <c r="AJ349" s="123">
        <f>AI349*1.12</f>
        <v>0</v>
      </c>
      <c r="AK349" s="123"/>
      <c r="AL349" s="126" t="str">
        <f t="shared" ref="AL349:AL399" si="193">IF(AC349=0,"",AF349/AC349)</f>
        <v/>
      </c>
      <c r="AM349" s="127"/>
      <c r="AN349" s="127">
        <f>AF349</f>
        <v>0</v>
      </c>
      <c r="AO349" s="127"/>
      <c r="AP349" s="123">
        <f>AF349</f>
        <v>0</v>
      </c>
      <c r="AQ349" s="123">
        <f t="shared" si="191"/>
        <v>0</v>
      </c>
      <c r="AR349" s="123"/>
      <c r="AS349" s="123"/>
      <c r="AT349" s="123"/>
      <c r="AU349" s="123"/>
      <c r="AV349" s="123"/>
      <c r="AW349" s="123"/>
      <c r="AX349" s="123"/>
      <c r="AY349" s="123"/>
      <c r="AZ349" s="123"/>
      <c r="BA349" s="123"/>
      <c r="BB349" s="123"/>
      <c r="BC349" s="123"/>
      <c r="BD349" s="123"/>
      <c r="BE349" s="123"/>
      <c r="BF349" s="123"/>
      <c r="BG349" s="106"/>
      <c r="BH349" s="106"/>
      <c r="BI349" s="106"/>
      <c r="BJ349" s="106"/>
      <c r="BK349" s="106"/>
      <c r="BL349" s="106"/>
      <c r="BM349" s="106"/>
      <c r="BN349" s="106"/>
      <c r="BQ349" s="29"/>
      <c r="BR349" s="107"/>
      <c r="BS349" s="106"/>
    </row>
    <row r="350" spans="1:71" ht="14.5" hidden="1" outlineLevel="1" x14ac:dyDescent="0.35">
      <c r="A350" s="499"/>
      <c r="B350" s="470"/>
      <c r="C350" s="129" t="s">
        <v>74</v>
      </c>
      <c r="D350" s="129" t="s">
        <v>76</v>
      </c>
      <c r="E350" s="187"/>
      <c r="F350" s="187"/>
      <c r="G350" s="494"/>
      <c r="H350" s="497"/>
      <c r="I350" s="191"/>
      <c r="J350" s="191"/>
      <c r="K350" s="476"/>
      <c r="L350" s="454"/>
      <c r="M350" s="459"/>
      <c r="N350" s="132">
        <f t="shared" si="187"/>
        <v>0</v>
      </c>
      <c r="O350" s="132">
        <f t="shared" si="187"/>
        <v>0</v>
      </c>
      <c r="P350" s="132">
        <f t="shared" si="192"/>
        <v>0</v>
      </c>
      <c r="Q350" s="132">
        <f>Q349</f>
        <v>0</v>
      </c>
      <c r="R350" s="454"/>
      <c r="S350" s="448"/>
      <c r="T350" s="131"/>
      <c r="U350" s="131"/>
      <c r="V350" s="131"/>
      <c r="W350" s="131">
        <f>W349</f>
        <v>0</v>
      </c>
      <c r="X350" s="130">
        <f t="shared" si="188"/>
        <v>0</v>
      </c>
      <c r="Y350" s="131"/>
      <c r="Z350" s="131">
        <f t="shared" si="189"/>
        <v>0</v>
      </c>
      <c r="AA350" s="131">
        <f t="shared" si="189"/>
        <v>0</v>
      </c>
      <c r="AB350" s="131"/>
      <c r="AC350" s="131"/>
      <c r="AD350" s="131"/>
      <c r="AE350" s="131"/>
      <c r="AF350" s="131">
        <f>AF349</f>
        <v>0</v>
      </c>
      <c r="AG350" s="130">
        <f t="shared" si="190"/>
        <v>0</v>
      </c>
      <c r="AH350" s="131"/>
      <c r="AI350" s="130">
        <f>AI349</f>
        <v>0</v>
      </c>
      <c r="AJ350" s="130">
        <f>AJ349</f>
        <v>0</v>
      </c>
      <c r="AK350" s="130"/>
      <c r="AL350" s="133" t="str">
        <f t="shared" si="193"/>
        <v/>
      </c>
      <c r="AM350" s="134"/>
      <c r="AN350" s="134">
        <f>AF350</f>
        <v>0</v>
      </c>
      <c r="AO350" s="134"/>
      <c r="AP350" s="130">
        <f>AF350</f>
        <v>0</v>
      </c>
      <c r="AQ350" s="130">
        <f t="shared" si="191"/>
        <v>0</v>
      </c>
      <c r="AR350" s="130"/>
      <c r="AS350" s="130"/>
      <c r="AT350" s="130"/>
      <c r="AU350" s="130"/>
      <c r="AV350" s="130"/>
      <c r="AW350" s="130"/>
      <c r="AX350" s="130"/>
      <c r="AY350" s="130"/>
      <c r="AZ350" s="130"/>
      <c r="BA350" s="130"/>
      <c r="BB350" s="130"/>
      <c r="BC350" s="130"/>
      <c r="BD350" s="130"/>
      <c r="BE350" s="130"/>
      <c r="BF350" s="130"/>
      <c r="BG350" s="31"/>
      <c r="BH350" s="31"/>
      <c r="BI350" s="31"/>
      <c r="BJ350" s="31"/>
      <c r="BK350" s="31"/>
      <c r="BL350" s="31"/>
      <c r="BM350" s="31"/>
      <c r="BN350" s="31"/>
      <c r="BQ350" s="27"/>
      <c r="BR350" s="28"/>
      <c r="BS350" s="31"/>
    </row>
    <row r="351" spans="1:71" s="227" customFormat="1" hidden="1" outlineLevel="1" x14ac:dyDescent="0.35">
      <c r="A351" s="499"/>
      <c r="B351" s="470"/>
      <c r="C351" s="217" t="s">
        <v>72</v>
      </c>
      <c r="D351" s="217" t="s">
        <v>73</v>
      </c>
      <c r="E351" s="218"/>
      <c r="F351" s="218"/>
      <c r="G351" s="494"/>
      <c r="H351" s="497"/>
      <c r="I351" s="219"/>
      <c r="J351" s="219"/>
      <c r="K351" s="476"/>
      <c r="L351" s="454"/>
      <c r="M351" s="459" t="s">
        <v>113</v>
      </c>
      <c r="N351" s="220">
        <f t="shared" si="187"/>
        <v>0</v>
      </c>
      <c r="O351" s="220">
        <f t="shared" si="187"/>
        <v>0</v>
      </c>
      <c r="P351" s="220">
        <f t="shared" si="192"/>
        <v>0</v>
      </c>
      <c r="Q351" s="220"/>
      <c r="R351" s="454"/>
      <c r="S351" s="448"/>
      <c r="T351" s="221"/>
      <c r="U351" s="221"/>
      <c r="V351" s="221"/>
      <c r="W351" s="221"/>
      <c r="X351" s="222">
        <f t="shared" si="188"/>
        <v>0</v>
      </c>
      <c r="Y351" s="221"/>
      <c r="Z351" s="221">
        <f t="shared" si="189"/>
        <v>0</v>
      </c>
      <c r="AA351" s="221">
        <f t="shared" si="189"/>
        <v>0</v>
      </c>
      <c r="AB351" s="221">
        <f t="shared" si="189"/>
        <v>0</v>
      </c>
      <c r="AC351" s="221"/>
      <c r="AD351" s="221"/>
      <c r="AE351" s="221"/>
      <c r="AF351" s="221"/>
      <c r="AG351" s="222">
        <f t="shared" si="190"/>
        <v>0</v>
      </c>
      <c r="AH351" s="221"/>
      <c r="AI351" s="222"/>
      <c r="AJ351" s="222">
        <f>AI351*1.12</f>
        <v>0</v>
      </c>
      <c r="AK351" s="218">
        <f>AH351-AE351</f>
        <v>0</v>
      </c>
      <c r="AL351" s="223" t="str">
        <f t="shared" si="193"/>
        <v/>
      </c>
      <c r="AM351" s="224"/>
      <c r="AN351" s="224"/>
      <c r="AO351" s="224"/>
      <c r="AP351" s="222"/>
      <c r="AQ351" s="222">
        <f t="shared" si="191"/>
        <v>0</v>
      </c>
      <c r="AR351" s="222"/>
      <c r="AS351" s="222"/>
      <c r="AT351" s="222"/>
      <c r="AU351" s="222"/>
      <c r="AV351" s="222"/>
      <c r="AW351" s="222"/>
      <c r="AX351" s="222"/>
      <c r="AY351" s="222"/>
      <c r="AZ351" s="225"/>
      <c r="BA351" s="222"/>
      <c r="BB351" s="222"/>
      <c r="BC351" s="222"/>
      <c r="BD351" s="222"/>
      <c r="BE351" s="222"/>
      <c r="BF351" s="222"/>
      <c r="BG351" s="226"/>
      <c r="BH351" s="226"/>
      <c r="BI351" s="226"/>
      <c r="BJ351" s="226"/>
      <c r="BK351" s="226"/>
      <c r="BL351" s="226"/>
      <c r="BM351" s="226"/>
      <c r="BN351" s="226"/>
      <c r="BQ351" s="228"/>
      <c r="BR351" s="229"/>
      <c r="BS351" s="226"/>
    </row>
    <row r="352" spans="1:71" s="103" customFormat="1" hidden="1" outlineLevel="1" x14ac:dyDescent="0.35">
      <c r="A352" s="499"/>
      <c r="B352" s="470"/>
      <c r="C352" s="122" t="s">
        <v>74</v>
      </c>
      <c r="D352" s="122" t="s">
        <v>75</v>
      </c>
      <c r="E352" s="185"/>
      <c r="F352" s="185"/>
      <c r="G352" s="494"/>
      <c r="H352" s="497"/>
      <c r="I352" s="189"/>
      <c r="J352" s="189"/>
      <c r="K352" s="476"/>
      <c r="L352" s="454"/>
      <c r="M352" s="459"/>
      <c r="N352" s="125">
        <f t="shared" si="187"/>
        <v>0</v>
      </c>
      <c r="O352" s="125">
        <f t="shared" si="187"/>
        <v>0</v>
      </c>
      <c r="P352" s="125">
        <f t="shared" si="192"/>
        <v>0</v>
      </c>
      <c r="Q352" s="125">
        <f>Q351</f>
        <v>0</v>
      </c>
      <c r="R352" s="454"/>
      <c r="S352" s="448"/>
      <c r="T352" s="124"/>
      <c r="U352" s="124"/>
      <c r="V352" s="124"/>
      <c r="W352" s="124"/>
      <c r="X352" s="123">
        <f t="shared" si="188"/>
        <v>0</v>
      </c>
      <c r="Y352" s="124"/>
      <c r="Z352" s="124">
        <f t="shared" si="189"/>
        <v>0</v>
      </c>
      <c r="AA352" s="124">
        <f t="shared" si="189"/>
        <v>0</v>
      </c>
      <c r="AB352" s="124"/>
      <c r="AC352" s="124"/>
      <c r="AD352" s="124"/>
      <c r="AE352" s="124"/>
      <c r="AF352" s="124"/>
      <c r="AG352" s="123">
        <f t="shared" si="190"/>
        <v>0</v>
      </c>
      <c r="AH352" s="124"/>
      <c r="AI352" s="123"/>
      <c r="AJ352" s="123">
        <f>AI352*1.12</f>
        <v>0</v>
      </c>
      <c r="AK352" s="123"/>
      <c r="AL352" s="126" t="str">
        <f t="shared" si="193"/>
        <v/>
      </c>
      <c r="AM352" s="127"/>
      <c r="AN352" s="127">
        <f>AF352</f>
        <v>0</v>
      </c>
      <c r="AO352" s="127"/>
      <c r="AP352" s="123">
        <f>AF352</f>
        <v>0</v>
      </c>
      <c r="AQ352" s="123">
        <f t="shared" si="191"/>
        <v>0</v>
      </c>
      <c r="AR352" s="123"/>
      <c r="AS352" s="123"/>
      <c r="AT352" s="123"/>
      <c r="AU352" s="123"/>
      <c r="AV352" s="123"/>
      <c r="AW352" s="123"/>
      <c r="AX352" s="123"/>
      <c r="AY352" s="123"/>
      <c r="AZ352" s="123"/>
      <c r="BA352" s="123"/>
      <c r="BB352" s="123"/>
      <c r="BC352" s="123"/>
      <c r="BD352" s="123"/>
      <c r="BE352" s="123"/>
      <c r="BF352" s="123"/>
      <c r="BG352" s="106"/>
      <c r="BH352" s="106"/>
      <c r="BI352" s="106"/>
      <c r="BJ352" s="106"/>
      <c r="BK352" s="106"/>
      <c r="BL352" s="106"/>
      <c r="BM352" s="106"/>
      <c r="BN352" s="106"/>
      <c r="BQ352" s="29"/>
      <c r="BR352" s="107"/>
      <c r="BS352" s="106"/>
    </row>
    <row r="353" spans="1:71" ht="14.5" hidden="1" outlineLevel="1" x14ac:dyDescent="0.35">
      <c r="A353" s="439"/>
      <c r="B353" s="437"/>
      <c r="C353" s="129" t="s">
        <v>74</v>
      </c>
      <c r="D353" s="129" t="s">
        <v>76</v>
      </c>
      <c r="E353" s="187"/>
      <c r="F353" s="187"/>
      <c r="G353" s="495"/>
      <c r="H353" s="498"/>
      <c r="I353" s="191"/>
      <c r="J353" s="191"/>
      <c r="K353" s="476"/>
      <c r="L353" s="454"/>
      <c r="M353" s="459"/>
      <c r="N353" s="132">
        <f t="shared" si="187"/>
        <v>0</v>
      </c>
      <c r="O353" s="132">
        <f t="shared" si="187"/>
        <v>0</v>
      </c>
      <c r="P353" s="132">
        <f t="shared" si="192"/>
        <v>0</v>
      </c>
      <c r="Q353" s="132">
        <f>Q352</f>
        <v>0</v>
      </c>
      <c r="R353" s="454"/>
      <c r="S353" s="448"/>
      <c r="T353" s="131"/>
      <c r="U353" s="131"/>
      <c r="V353" s="131"/>
      <c r="W353" s="131">
        <f>W352</f>
        <v>0</v>
      </c>
      <c r="X353" s="130">
        <f t="shared" si="188"/>
        <v>0</v>
      </c>
      <c r="Y353" s="131"/>
      <c r="Z353" s="131">
        <f t="shared" si="189"/>
        <v>0</v>
      </c>
      <c r="AA353" s="131">
        <f t="shared" si="189"/>
        <v>0</v>
      </c>
      <c r="AB353" s="131"/>
      <c r="AC353" s="131"/>
      <c r="AD353" s="131"/>
      <c r="AE353" s="131"/>
      <c r="AF353" s="131">
        <f>AF352</f>
        <v>0</v>
      </c>
      <c r="AG353" s="130">
        <f t="shared" si="190"/>
        <v>0</v>
      </c>
      <c r="AH353" s="131"/>
      <c r="AI353" s="130">
        <f>AI352</f>
        <v>0</v>
      </c>
      <c r="AJ353" s="130">
        <f>AJ352</f>
        <v>0</v>
      </c>
      <c r="AK353" s="130"/>
      <c r="AL353" s="133" t="str">
        <f t="shared" si="193"/>
        <v/>
      </c>
      <c r="AM353" s="134"/>
      <c r="AN353" s="134">
        <f>AF353</f>
        <v>0</v>
      </c>
      <c r="AO353" s="134"/>
      <c r="AP353" s="130">
        <f>AF353</f>
        <v>0</v>
      </c>
      <c r="AQ353" s="130">
        <f t="shared" si="191"/>
        <v>0</v>
      </c>
      <c r="AR353" s="130"/>
      <c r="AS353" s="130"/>
      <c r="AT353" s="130"/>
      <c r="AU353" s="130"/>
      <c r="AV353" s="130"/>
      <c r="AW353" s="130"/>
      <c r="AX353" s="130"/>
      <c r="AY353" s="130"/>
      <c r="AZ353" s="130"/>
      <c r="BA353" s="130"/>
      <c r="BB353" s="130"/>
      <c r="BC353" s="130"/>
      <c r="BD353" s="130"/>
      <c r="BE353" s="130"/>
      <c r="BF353" s="130"/>
      <c r="BG353" s="31"/>
      <c r="BH353" s="31"/>
      <c r="BI353" s="31"/>
      <c r="BJ353" s="31"/>
      <c r="BK353" s="31"/>
      <c r="BL353" s="31"/>
      <c r="BM353" s="31"/>
      <c r="BN353" s="31"/>
      <c r="BQ353" s="27"/>
      <c r="BR353" s="28"/>
      <c r="BS353" s="31"/>
    </row>
    <row r="354" spans="1:71" s="212" customFormat="1" collapsed="1" x14ac:dyDescent="0.35">
      <c r="A354" s="438"/>
      <c r="B354" s="436" t="s">
        <v>170</v>
      </c>
      <c r="C354" s="202"/>
      <c r="D354" s="202"/>
      <c r="E354" s="203">
        <f>E356+E359+E374</f>
        <v>17938</v>
      </c>
      <c r="F354" s="203">
        <f>F356+F359+F374</f>
        <v>20090.560000000001</v>
      </c>
      <c r="G354" s="204"/>
      <c r="H354" s="203">
        <f>H356+H359+H374</f>
        <v>6</v>
      </c>
      <c r="I354" s="203">
        <f>I356+I359+I374</f>
        <v>17938</v>
      </c>
      <c r="J354" s="203">
        <f>J356+J359+J374</f>
        <v>20090.560000000001</v>
      </c>
      <c r="K354" s="486" t="s">
        <v>171</v>
      </c>
      <c r="L354" s="487"/>
      <c r="M354" s="500" t="s">
        <v>113</v>
      </c>
      <c r="N354" s="205">
        <f t="shared" ref="N354:Q355" si="194">N356+N359+N374+N362+N365+N368+N371</f>
        <v>17579240</v>
      </c>
      <c r="O354" s="205">
        <f t="shared" si="194"/>
        <v>19688748.800000001</v>
      </c>
      <c r="P354" s="205">
        <f t="shared" si="194"/>
        <v>17579240</v>
      </c>
      <c r="Q354" s="205">
        <f t="shared" si="194"/>
        <v>19688748.800000001</v>
      </c>
      <c r="R354" s="206"/>
      <c r="S354" s="492">
        <f t="shared" ref="S354:AK354" si="195">S356+S359+S374+S362+S365+S368+S371</f>
        <v>6</v>
      </c>
      <c r="T354" s="203">
        <f t="shared" si="195"/>
        <v>0</v>
      </c>
      <c r="U354" s="203">
        <f t="shared" si="195"/>
        <v>0</v>
      </c>
      <c r="V354" s="203">
        <f t="shared" si="195"/>
        <v>0</v>
      </c>
      <c r="W354" s="203">
        <f t="shared" si="195"/>
        <v>0</v>
      </c>
      <c r="X354" s="203">
        <f t="shared" si="195"/>
        <v>0</v>
      </c>
      <c r="Y354" s="203">
        <f t="shared" si="195"/>
        <v>0</v>
      </c>
      <c r="Z354" s="203">
        <f t="shared" si="195"/>
        <v>0</v>
      </c>
      <c r="AA354" s="203">
        <f t="shared" si="195"/>
        <v>0</v>
      </c>
      <c r="AB354" s="203">
        <f t="shared" si="195"/>
        <v>0</v>
      </c>
      <c r="AC354" s="203">
        <f t="shared" si="195"/>
        <v>17938</v>
      </c>
      <c r="AD354" s="203">
        <f t="shared" si="195"/>
        <v>20090.560000000001</v>
      </c>
      <c r="AE354" s="203">
        <f t="shared" si="195"/>
        <v>5</v>
      </c>
      <c r="AF354" s="203">
        <f t="shared" si="195"/>
        <v>12899.97291</v>
      </c>
      <c r="AG354" s="203">
        <f t="shared" si="195"/>
        <v>14447.969659200002</v>
      </c>
      <c r="AH354" s="203">
        <f t="shared" si="195"/>
        <v>5</v>
      </c>
      <c r="AI354" s="203">
        <f t="shared" si="195"/>
        <v>-5038.0270899999996</v>
      </c>
      <c r="AJ354" s="203">
        <f t="shared" si="195"/>
        <v>-5642.5903408000004</v>
      </c>
      <c r="AK354" s="203">
        <f t="shared" si="195"/>
        <v>0</v>
      </c>
      <c r="AL354" s="208">
        <f t="shared" si="193"/>
        <v>0.71914220704649345</v>
      </c>
      <c r="AM354" s="203">
        <f>AM356+AM359+AM374+AM362+AM365+AM368+AM371</f>
        <v>0</v>
      </c>
      <c r="AN354" s="203">
        <f t="shared" ref="AN354:BF355" si="196">AN356+AN359+AN374+AN362+AN365+AN368+AN371</f>
        <v>0</v>
      </c>
      <c r="AO354" s="203">
        <f t="shared" si="196"/>
        <v>0</v>
      </c>
      <c r="AP354" s="203">
        <f t="shared" si="196"/>
        <v>17580</v>
      </c>
      <c r="AQ354" s="203">
        <f t="shared" si="196"/>
        <v>19689.600000000002</v>
      </c>
      <c r="AR354" s="203">
        <f t="shared" si="196"/>
        <v>6</v>
      </c>
      <c r="AS354" s="203">
        <f t="shared" si="196"/>
        <v>0</v>
      </c>
      <c r="AT354" s="203">
        <f t="shared" si="196"/>
        <v>0</v>
      </c>
      <c r="AU354" s="203">
        <f t="shared" si="196"/>
        <v>0</v>
      </c>
      <c r="AV354" s="203">
        <f t="shared" si="196"/>
        <v>0</v>
      </c>
      <c r="AW354" s="203">
        <f t="shared" si="196"/>
        <v>0</v>
      </c>
      <c r="AX354" s="203">
        <f t="shared" si="196"/>
        <v>0</v>
      </c>
      <c r="AY354" s="203">
        <f t="shared" si="196"/>
        <v>0</v>
      </c>
      <c r="AZ354" s="203">
        <f t="shared" si="196"/>
        <v>0</v>
      </c>
      <c r="BA354" s="203">
        <f t="shared" si="196"/>
        <v>0</v>
      </c>
      <c r="BB354" s="203">
        <f t="shared" si="196"/>
        <v>0</v>
      </c>
      <c r="BC354" s="203">
        <f t="shared" si="196"/>
        <v>0</v>
      </c>
      <c r="BD354" s="203">
        <f t="shared" si="196"/>
        <v>0</v>
      </c>
      <c r="BE354" s="203">
        <f t="shared" si="196"/>
        <v>0</v>
      </c>
      <c r="BF354" s="203">
        <f t="shared" si="196"/>
        <v>0</v>
      </c>
      <c r="BG354" s="209" t="s">
        <v>84</v>
      </c>
      <c r="BH354" s="210"/>
      <c r="BI354" s="207">
        <f>BI356+BI359+BI624+BI629+BI633</f>
        <v>0</v>
      </c>
      <c r="BJ354" s="207">
        <f>BJ356+BJ359+BJ624+BJ629+BJ633</f>
        <v>0</v>
      </c>
      <c r="BK354" s="207">
        <f>BK356+BK359+BK624+BK629+BK633</f>
        <v>0</v>
      </c>
      <c r="BL354" s="211"/>
      <c r="BM354" s="211"/>
      <c r="BN354" s="210"/>
      <c r="BQ354" s="213"/>
      <c r="BR354" s="214"/>
      <c r="BS354" s="210"/>
    </row>
    <row r="355" spans="1:71" s="212" customFormat="1" x14ac:dyDescent="0.35">
      <c r="A355" s="499"/>
      <c r="B355" s="470"/>
      <c r="C355" s="202"/>
      <c r="D355" s="202"/>
      <c r="E355" s="203">
        <f>E357+E360+E375</f>
        <v>17938</v>
      </c>
      <c r="F355" s="203">
        <f>F357+F360+F375</f>
        <v>20090.560000000001</v>
      </c>
      <c r="G355" s="204"/>
      <c r="H355" s="203"/>
      <c r="I355" s="203">
        <f>I357+I360+I375</f>
        <v>17938</v>
      </c>
      <c r="J355" s="203">
        <f>J357+J360+J375</f>
        <v>20090.560000000001</v>
      </c>
      <c r="K355" s="488"/>
      <c r="L355" s="489"/>
      <c r="M355" s="500"/>
      <c r="N355" s="205">
        <f t="shared" si="194"/>
        <v>17579240</v>
      </c>
      <c r="O355" s="205">
        <f t="shared" si="194"/>
        <v>19688748.800000001</v>
      </c>
      <c r="P355" s="205">
        <f t="shared" si="194"/>
        <v>17579240</v>
      </c>
      <c r="Q355" s="205">
        <f t="shared" si="194"/>
        <v>19688748.800000001</v>
      </c>
      <c r="R355" s="206"/>
      <c r="S355" s="492"/>
      <c r="T355" s="203">
        <f>T357+T360+T375+T363+T366+T369+T372</f>
        <v>0</v>
      </c>
      <c r="U355" s="203">
        <f>U357+U360+U375+U363+U366+U369+U372</f>
        <v>0</v>
      </c>
      <c r="V355" s="216"/>
      <c r="W355" s="203">
        <f>W357+W360+W375+W363+W366+W369+W372</f>
        <v>0</v>
      </c>
      <c r="X355" s="203">
        <f>X357+X360+X375+X363+X366+X369+X372</f>
        <v>0</v>
      </c>
      <c r="Y355" s="216"/>
      <c r="Z355" s="203">
        <f>Z357+Z360+Z375+Z363+Z366+Z369+Z372</f>
        <v>0</v>
      </c>
      <c r="AA355" s="203">
        <f>AA357+AA360+AA375+AA363+AA366+AA369+AA372</f>
        <v>0</v>
      </c>
      <c r="AB355" s="216"/>
      <c r="AC355" s="203">
        <f>AC357+AC360+AC375+AC363+AC366+AC369+AC372</f>
        <v>17938</v>
      </c>
      <c r="AD355" s="203">
        <f>AD357+AD360+AD375+AD363+AD366+AD369+AD372</f>
        <v>20090.560000000001</v>
      </c>
      <c r="AE355" s="216"/>
      <c r="AF355" s="203">
        <f>AF357+AF360+AF375+AF363+AF366+AF369+AF372</f>
        <v>0</v>
      </c>
      <c r="AG355" s="203">
        <f>AG357+AG360+AG375+AG363+AG366+AG369+AG372</f>
        <v>0</v>
      </c>
      <c r="AH355" s="216"/>
      <c r="AI355" s="203">
        <f>AI357+AI360+AI375+AI363+AI366+AI369+AI372</f>
        <v>0</v>
      </c>
      <c r="AJ355" s="203">
        <f>AJ357+AJ360+AJ375+AJ363+AJ366+AJ369+AJ372</f>
        <v>0</v>
      </c>
      <c r="AK355" s="216"/>
      <c r="AL355" s="208">
        <f t="shared" si="193"/>
        <v>0</v>
      </c>
      <c r="AM355" s="203">
        <f>AM357+AM360+AM375+AM363+AM366+AM369+AM372</f>
        <v>0</v>
      </c>
      <c r="AN355" s="203">
        <f t="shared" si="196"/>
        <v>0</v>
      </c>
      <c r="AO355" s="203">
        <f t="shared" si="196"/>
        <v>0</v>
      </c>
      <c r="AP355" s="203">
        <f t="shared" si="196"/>
        <v>17580</v>
      </c>
      <c r="AQ355" s="203">
        <f t="shared" si="196"/>
        <v>19689.600000000002</v>
      </c>
      <c r="AR355" s="203">
        <f t="shared" si="196"/>
        <v>0</v>
      </c>
      <c r="AS355" s="203">
        <f t="shared" si="196"/>
        <v>0</v>
      </c>
      <c r="AT355" s="203">
        <f t="shared" si="196"/>
        <v>0</v>
      </c>
      <c r="AU355" s="203">
        <f t="shared" si="196"/>
        <v>0</v>
      </c>
      <c r="AV355" s="203">
        <f t="shared" si="196"/>
        <v>0</v>
      </c>
      <c r="AW355" s="203">
        <f t="shared" si="196"/>
        <v>0</v>
      </c>
      <c r="AX355" s="203">
        <f t="shared" si="196"/>
        <v>0</v>
      </c>
      <c r="AY355" s="203">
        <f t="shared" si="196"/>
        <v>0</v>
      </c>
      <c r="AZ355" s="203">
        <f t="shared" si="196"/>
        <v>0</v>
      </c>
      <c r="BA355" s="203">
        <f t="shared" si="196"/>
        <v>0</v>
      </c>
      <c r="BB355" s="203">
        <f t="shared" si="196"/>
        <v>0</v>
      </c>
      <c r="BC355" s="203">
        <f t="shared" si="196"/>
        <v>0</v>
      </c>
      <c r="BD355" s="203">
        <f t="shared" si="196"/>
        <v>0</v>
      </c>
      <c r="BE355" s="203">
        <f t="shared" si="196"/>
        <v>0</v>
      </c>
      <c r="BF355" s="203">
        <f t="shared" si="196"/>
        <v>0</v>
      </c>
      <c r="BG355" s="210"/>
      <c r="BH355" s="210"/>
      <c r="BI355" s="207">
        <f>BI357+BI360+BI618+BI621+BI624+BI627</f>
        <v>0</v>
      </c>
      <c r="BJ355" s="207">
        <f>BJ357+BJ360+BJ618+BJ621+BJ624+BJ627</f>
        <v>0</v>
      </c>
      <c r="BK355" s="207">
        <f>BK357+BK360+BK618+BK621+BK624+BK627</f>
        <v>0</v>
      </c>
      <c r="BL355" s="211"/>
      <c r="BM355" s="211"/>
      <c r="BN355" s="210"/>
      <c r="BQ355" s="213"/>
      <c r="BR355" s="214"/>
      <c r="BS355" s="210"/>
    </row>
    <row r="356" spans="1:71" s="227" customFormat="1" ht="21.75" customHeight="1" x14ac:dyDescent="0.35">
      <c r="A356" s="499"/>
      <c r="B356" s="470"/>
      <c r="C356" s="217" t="s">
        <v>72</v>
      </c>
      <c r="D356" s="217" t="s">
        <v>73</v>
      </c>
      <c r="E356" s="218">
        <f>I356</f>
        <v>17938</v>
      </c>
      <c r="F356" s="218">
        <f>E356*1.12</f>
        <v>20090.560000000001</v>
      </c>
      <c r="G356" s="493">
        <v>2020</v>
      </c>
      <c r="H356" s="496">
        <v>6</v>
      </c>
      <c r="I356" s="219">
        <v>17938</v>
      </c>
      <c r="J356" s="219">
        <f>I356*1.12</f>
        <v>20090.560000000001</v>
      </c>
      <c r="K356" s="476" t="s">
        <v>166</v>
      </c>
      <c r="L356" s="454" t="s">
        <v>167</v>
      </c>
      <c r="M356" s="459" t="s">
        <v>113</v>
      </c>
      <c r="N356" s="220">
        <f t="shared" ref="N356:O376" si="197">P356</f>
        <v>17579240</v>
      </c>
      <c r="O356" s="220">
        <f t="shared" si="197"/>
        <v>19688748.800000001</v>
      </c>
      <c r="P356" s="220">
        <v>17579240</v>
      </c>
      <c r="Q356" s="220">
        <f>P356*1.12</f>
        <v>19688748.800000001</v>
      </c>
      <c r="R356" s="454" t="s">
        <v>106</v>
      </c>
      <c r="S356" s="448">
        <v>6</v>
      </c>
      <c r="T356" s="221"/>
      <c r="U356" s="221"/>
      <c r="V356" s="221"/>
      <c r="W356" s="221"/>
      <c r="X356" s="222">
        <f t="shared" ref="X356:X376" si="198">W356*1.12</f>
        <v>0</v>
      </c>
      <c r="Y356" s="221"/>
      <c r="Z356" s="221">
        <f t="shared" ref="Z356:AB376" si="199">T356+W356</f>
        <v>0</v>
      </c>
      <c r="AA356" s="221">
        <f t="shared" si="199"/>
        <v>0</v>
      </c>
      <c r="AB356" s="221">
        <f t="shared" si="199"/>
        <v>0</v>
      </c>
      <c r="AC356" s="221">
        <f>11958+5980</f>
        <v>17938</v>
      </c>
      <c r="AD356" s="221">
        <f>AC356*1.12</f>
        <v>20090.560000000001</v>
      </c>
      <c r="AE356" s="221">
        <f>2+2+2-1</f>
        <v>5</v>
      </c>
      <c r="AF356" s="221">
        <f>12899972.91/1000</f>
        <v>12899.97291</v>
      </c>
      <c r="AG356" s="222">
        <f t="shared" ref="AG356:AG376" si="200">AF356*1.12</f>
        <v>14447.969659200002</v>
      </c>
      <c r="AH356" s="221">
        <v>5</v>
      </c>
      <c r="AI356" s="222">
        <f>AF356+AF359+AF362+AF365+AF368+AF371+AF374-AC356</f>
        <v>-5038.0270899999996</v>
      </c>
      <c r="AJ356" s="222">
        <f>AI356*1.12</f>
        <v>-5642.5903408000004</v>
      </c>
      <c r="AK356" s="218">
        <f>AH356-AE356</f>
        <v>0</v>
      </c>
      <c r="AL356" s="223">
        <f t="shared" si="193"/>
        <v>0.71914220704649345</v>
      </c>
      <c r="AM356" s="224"/>
      <c r="AN356" s="224"/>
      <c r="AO356" s="224"/>
      <c r="AP356" s="222">
        <v>17580</v>
      </c>
      <c r="AQ356" s="222">
        <f t="shared" ref="AQ356:AQ376" si="201">AP356*1.12</f>
        <v>19689.600000000002</v>
      </c>
      <c r="AR356" s="222">
        <v>6</v>
      </c>
      <c r="AS356" s="225"/>
      <c r="AT356" s="222"/>
      <c r="AU356" s="222"/>
      <c r="AV356" s="222"/>
      <c r="AW356" s="222"/>
      <c r="AX356" s="222"/>
      <c r="AY356" s="222"/>
      <c r="AZ356" s="218"/>
      <c r="BA356" s="222"/>
      <c r="BB356" s="222"/>
      <c r="BC356" s="222"/>
      <c r="BD356" s="222"/>
      <c r="BE356" s="222"/>
      <c r="BF356" s="225"/>
      <c r="BG356" s="226"/>
      <c r="BH356" s="226"/>
      <c r="BI356" s="226"/>
      <c r="BJ356" s="226"/>
      <c r="BK356" s="226"/>
      <c r="BL356" s="226"/>
      <c r="BM356" s="226"/>
      <c r="BN356" s="226"/>
      <c r="BQ356" s="228"/>
      <c r="BR356" s="229"/>
      <c r="BS356" s="226"/>
    </row>
    <row r="357" spans="1:71" s="103" customFormat="1" ht="21.75" customHeight="1" x14ac:dyDescent="0.35">
      <c r="A357" s="499"/>
      <c r="B357" s="470"/>
      <c r="C357" s="122" t="s">
        <v>74</v>
      </c>
      <c r="D357" s="122" t="s">
        <v>75</v>
      </c>
      <c r="E357" s="185">
        <f>E356</f>
        <v>17938</v>
      </c>
      <c r="F357" s="185">
        <f>E357*1.12</f>
        <v>20090.560000000001</v>
      </c>
      <c r="G357" s="494"/>
      <c r="H357" s="497"/>
      <c r="I357" s="189">
        <f>I356</f>
        <v>17938</v>
      </c>
      <c r="J357" s="189">
        <f>I357*1.12</f>
        <v>20090.560000000001</v>
      </c>
      <c r="K357" s="476"/>
      <c r="L357" s="454"/>
      <c r="M357" s="459"/>
      <c r="N357" s="125">
        <f t="shared" si="197"/>
        <v>17579240</v>
      </c>
      <c r="O357" s="125">
        <f t="shared" si="197"/>
        <v>19688748.800000001</v>
      </c>
      <c r="P357" s="125">
        <f t="shared" ref="P357:P376" si="202">Q357/1.12</f>
        <v>17579240</v>
      </c>
      <c r="Q357" s="125">
        <f>Q356</f>
        <v>19688748.800000001</v>
      </c>
      <c r="R357" s="454"/>
      <c r="S357" s="448"/>
      <c r="T357" s="124"/>
      <c r="U357" s="124"/>
      <c r="V357" s="124"/>
      <c r="W357" s="124"/>
      <c r="X357" s="123">
        <f t="shared" si="198"/>
        <v>0</v>
      </c>
      <c r="Y357" s="124"/>
      <c r="Z357" s="124">
        <f t="shared" si="199"/>
        <v>0</v>
      </c>
      <c r="AA357" s="124">
        <f t="shared" si="199"/>
        <v>0</v>
      </c>
      <c r="AB357" s="124"/>
      <c r="AC357" s="124">
        <f>5979+5979+5980</f>
        <v>17938</v>
      </c>
      <c r="AD357" s="124">
        <f>AC357*1.12</f>
        <v>20090.560000000001</v>
      </c>
      <c r="AE357" s="124"/>
      <c r="AF357" s="124"/>
      <c r="AG357" s="123">
        <f t="shared" si="200"/>
        <v>0</v>
      </c>
      <c r="AH357" s="124"/>
      <c r="AI357" s="123"/>
      <c r="AJ357" s="123">
        <f>AI357*1.12</f>
        <v>0</v>
      </c>
      <c r="AK357" s="123"/>
      <c r="AL357" s="126">
        <f t="shared" si="193"/>
        <v>0</v>
      </c>
      <c r="AM357" s="127"/>
      <c r="AN357" s="127">
        <f>AF357</f>
        <v>0</v>
      </c>
      <c r="AO357" s="127"/>
      <c r="AP357" s="123">
        <v>17580</v>
      </c>
      <c r="AQ357" s="123">
        <f t="shared" si="201"/>
        <v>19689.600000000002</v>
      </c>
      <c r="AR357" s="123"/>
      <c r="AS357" s="123"/>
      <c r="AT357" s="123"/>
      <c r="AU357" s="123"/>
      <c r="AV357" s="123"/>
      <c r="AW357" s="123"/>
      <c r="AX357" s="123"/>
      <c r="AY357" s="123"/>
      <c r="AZ357" s="123"/>
      <c r="BA357" s="123"/>
      <c r="BB357" s="123"/>
      <c r="BC357" s="123"/>
      <c r="BD357" s="123"/>
      <c r="BE357" s="123"/>
      <c r="BF357" s="123"/>
      <c r="BG357" s="106"/>
      <c r="BH357" s="106"/>
      <c r="BI357" s="106"/>
      <c r="BJ357" s="106"/>
      <c r="BK357" s="106"/>
      <c r="BL357" s="106"/>
      <c r="BM357" s="106"/>
      <c r="BN357" s="106"/>
      <c r="BQ357" s="29"/>
      <c r="BR357" s="107"/>
      <c r="BS357" s="106"/>
    </row>
    <row r="358" spans="1:71" ht="21.75" customHeight="1" x14ac:dyDescent="0.35">
      <c r="A358" s="499"/>
      <c r="B358" s="470"/>
      <c r="C358" s="129" t="s">
        <v>74</v>
      </c>
      <c r="D358" s="129" t="s">
        <v>76</v>
      </c>
      <c r="E358" s="187">
        <f>E357</f>
        <v>17938</v>
      </c>
      <c r="F358" s="187">
        <f>F357</f>
        <v>20090.560000000001</v>
      </c>
      <c r="G358" s="494"/>
      <c r="H358" s="497"/>
      <c r="I358" s="191">
        <f>I357</f>
        <v>17938</v>
      </c>
      <c r="J358" s="191">
        <f>J357</f>
        <v>20090.560000000001</v>
      </c>
      <c r="K358" s="476"/>
      <c r="L358" s="454"/>
      <c r="M358" s="459"/>
      <c r="N358" s="132">
        <f t="shared" si="197"/>
        <v>17579240</v>
      </c>
      <c r="O358" s="132">
        <f t="shared" si="197"/>
        <v>19688748.800000001</v>
      </c>
      <c r="P358" s="132">
        <f t="shared" si="202"/>
        <v>17579240</v>
      </c>
      <c r="Q358" s="132">
        <f>Q357</f>
        <v>19688748.800000001</v>
      </c>
      <c r="R358" s="454"/>
      <c r="S358" s="448"/>
      <c r="T358" s="131"/>
      <c r="U358" s="131"/>
      <c r="V358" s="131"/>
      <c r="W358" s="131">
        <f>W357</f>
        <v>0</v>
      </c>
      <c r="X358" s="130">
        <f t="shared" si="198"/>
        <v>0</v>
      </c>
      <c r="Y358" s="131"/>
      <c r="Z358" s="131">
        <f t="shared" si="199"/>
        <v>0</v>
      </c>
      <c r="AA358" s="131">
        <f t="shared" si="199"/>
        <v>0</v>
      </c>
      <c r="AB358" s="131"/>
      <c r="AC358" s="131">
        <f>AC357</f>
        <v>17938</v>
      </c>
      <c r="AD358" s="131">
        <f>AD357</f>
        <v>20090.560000000001</v>
      </c>
      <c r="AE358" s="131"/>
      <c r="AF358" s="131">
        <f>AF357</f>
        <v>0</v>
      </c>
      <c r="AG358" s="130">
        <f t="shared" si="200"/>
        <v>0</v>
      </c>
      <c r="AH358" s="131"/>
      <c r="AI358" s="130">
        <f>AI357</f>
        <v>0</v>
      </c>
      <c r="AJ358" s="130">
        <f>AJ357</f>
        <v>0</v>
      </c>
      <c r="AK358" s="130"/>
      <c r="AL358" s="133">
        <f t="shared" si="193"/>
        <v>0</v>
      </c>
      <c r="AM358" s="134"/>
      <c r="AN358" s="134">
        <f>AF358</f>
        <v>0</v>
      </c>
      <c r="AO358" s="134"/>
      <c r="AP358" s="130">
        <v>17580</v>
      </c>
      <c r="AQ358" s="130">
        <f t="shared" si="201"/>
        <v>19689.600000000002</v>
      </c>
      <c r="AR358" s="130"/>
      <c r="AS358" s="130"/>
      <c r="AT358" s="130"/>
      <c r="AU358" s="130"/>
      <c r="AV358" s="130"/>
      <c r="AW358" s="130"/>
      <c r="AX358" s="130"/>
      <c r="AY358" s="130"/>
      <c r="AZ358" s="130"/>
      <c r="BA358" s="130"/>
      <c r="BB358" s="130"/>
      <c r="BC358" s="130"/>
      <c r="BD358" s="130"/>
      <c r="BE358" s="130"/>
      <c r="BF358" s="130"/>
      <c r="BG358" s="31"/>
      <c r="BH358" s="31"/>
      <c r="BI358" s="31"/>
      <c r="BJ358" s="31"/>
      <c r="BK358" s="31"/>
      <c r="BL358" s="31"/>
      <c r="BM358" s="31"/>
      <c r="BN358" s="31"/>
      <c r="BQ358" s="27"/>
      <c r="BR358" s="28"/>
      <c r="BS358" s="31"/>
    </row>
    <row r="359" spans="1:71" s="227" customFormat="1" hidden="1" outlineLevel="1" x14ac:dyDescent="0.35">
      <c r="A359" s="499"/>
      <c r="B359" s="470"/>
      <c r="C359" s="217" t="s">
        <v>72</v>
      </c>
      <c r="D359" s="217" t="s">
        <v>73</v>
      </c>
      <c r="E359" s="218"/>
      <c r="F359" s="218"/>
      <c r="G359" s="494"/>
      <c r="H359" s="497"/>
      <c r="I359" s="219"/>
      <c r="J359" s="219"/>
      <c r="K359" s="476"/>
      <c r="L359" s="454"/>
      <c r="M359" s="459" t="s">
        <v>113</v>
      </c>
      <c r="N359" s="220">
        <f t="shared" si="197"/>
        <v>0</v>
      </c>
      <c r="O359" s="220">
        <f t="shared" si="197"/>
        <v>0</v>
      </c>
      <c r="P359" s="220">
        <f t="shared" si="202"/>
        <v>0</v>
      </c>
      <c r="Q359" s="220"/>
      <c r="R359" s="454"/>
      <c r="S359" s="448"/>
      <c r="T359" s="221"/>
      <c r="U359" s="221"/>
      <c r="V359" s="221"/>
      <c r="W359" s="221"/>
      <c r="X359" s="222">
        <f t="shared" si="198"/>
        <v>0</v>
      </c>
      <c r="Y359" s="221"/>
      <c r="Z359" s="221">
        <f t="shared" si="199"/>
        <v>0</v>
      </c>
      <c r="AA359" s="221">
        <f t="shared" si="199"/>
        <v>0</v>
      </c>
      <c r="AB359" s="221">
        <f t="shared" si="199"/>
        <v>0</v>
      </c>
      <c r="AC359" s="221"/>
      <c r="AD359" s="221"/>
      <c r="AE359" s="221"/>
      <c r="AF359" s="221"/>
      <c r="AG359" s="222">
        <f t="shared" si="200"/>
        <v>0</v>
      </c>
      <c r="AH359" s="221"/>
      <c r="AI359" s="222"/>
      <c r="AJ359" s="222">
        <f>AI359*1.12</f>
        <v>0</v>
      </c>
      <c r="AK359" s="218">
        <f>AH359-AE359</f>
        <v>0</v>
      </c>
      <c r="AL359" s="223" t="str">
        <f t="shared" si="193"/>
        <v/>
      </c>
      <c r="AM359" s="224"/>
      <c r="AN359" s="224"/>
      <c r="AO359" s="224"/>
      <c r="AP359" s="222"/>
      <c r="AQ359" s="222">
        <f t="shared" si="201"/>
        <v>0</v>
      </c>
      <c r="AR359" s="222"/>
      <c r="AS359" s="222"/>
      <c r="AT359" s="222"/>
      <c r="AU359" s="222"/>
      <c r="AV359" s="222"/>
      <c r="AW359" s="222"/>
      <c r="AX359" s="222"/>
      <c r="AY359" s="222"/>
      <c r="AZ359" s="225"/>
      <c r="BA359" s="222"/>
      <c r="BB359" s="222"/>
      <c r="BC359" s="222"/>
      <c r="BD359" s="222"/>
      <c r="BE359" s="222"/>
      <c r="BF359" s="222"/>
      <c r="BG359" s="226"/>
      <c r="BH359" s="226"/>
      <c r="BI359" s="226"/>
      <c r="BJ359" s="226"/>
      <c r="BK359" s="226"/>
      <c r="BL359" s="226"/>
      <c r="BM359" s="226"/>
      <c r="BN359" s="226"/>
      <c r="BQ359" s="228"/>
      <c r="BR359" s="229"/>
      <c r="BS359" s="226"/>
    </row>
    <row r="360" spans="1:71" s="103" customFormat="1" hidden="1" outlineLevel="1" x14ac:dyDescent="0.35">
      <c r="A360" s="499"/>
      <c r="B360" s="470"/>
      <c r="C360" s="122" t="s">
        <v>74</v>
      </c>
      <c r="D360" s="122" t="s">
        <v>75</v>
      </c>
      <c r="E360" s="185"/>
      <c r="F360" s="185"/>
      <c r="G360" s="494"/>
      <c r="H360" s="497"/>
      <c r="I360" s="189"/>
      <c r="J360" s="189"/>
      <c r="K360" s="476"/>
      <c r="L360" s="454"/>
      <c r="M360" s="459"/>
      <c r="N360" s="125">
        <f t="shared" si="197"/>
        <v>0</v>
      </c>
      <c r="O360" s="125">
        <f t="shared" si="197"/>
        <v>0</v>
      </c>
      <c r="P360" s="125">
        <f t="shared" si="202"/>
        <v>0</v>
      </c>
      <c r="Q360" s="125">
        <f>Q359</f>
        <v>0</v>
      </c>
      <c r="R360" s="454"/>
      <c r="S360" s="448"/>
      <c r="T360" s="124"/>
      <c r="U360" s="124"/>
      <c r="V360" s="124"/>
      <c r="W360" s="124"/>
      <c r="X360" s="123">
        <f t="shared" si="198"/>
        <v>0</v>
      </c>
      <c r="Y360" s="124"/>
      <c r="Z360" s="124">
        <f t="shared" si="199"/>
        <v>0</v>
      </c>
      <c r="AA360" s="124">
        <f t="shared" si="199"/>
        <v>0</v>
      </c>
      <c r="AB360" s="124"/>
      <c r="AC360" s="124"/>
      <c r="AD360" s="124"/>
      <c r="AE360" s="124"/>
      <c r="AF360" s="124"/>
      <c r="AG360" s="123">
        <f t="shared" si="200"/>
        <v>0</v>
      </c>
      <c r="AH360" s="124"/>
      <c r="AI360" s="123"/>
      <c r="AJ360" s="123">
        <f>AI360*1.12</f>
        <v>0</v>
      </c>
      <c r="AK360" s="123"/>
      <c r="AL360" s="126" t="str">
        <f t="shared" si="193"/>
        <v/>
      </c>
      <c r="AM360" s="127"/>
      <c r="AN360" s="127">
        <f>AF360</f>
        <v>0</v>
      </c>
      <c r="AO360" s="127"/>
      <c r="AP360" s="123">
        <f>AF360</f>
        <v>0</v>
      </c>
      <c r="AQ360" s="123">
        <f t="shared" si="201"/>
        <v>0</v>
      </c>
      <c r="AR360" s="123"/>
      <c r="AS360" s="123"/>
      <c r="AT360" s="123"/>
      <c r="AU360" s="123"/>
      <c r="AV360" s="123"/>
      <c r="AW360" s="123"/>
      <c r="AX360" s="123"/>
      <c r="AY360" s="123"/>
      <c r="AZ360" s="123"/>
      <c r="BA360" s="123"/>
      <c r="BB360" s="123"/>
      <c r="BC360" s="123"/>
      <c r="BD360" s="123"/>
      <c r="BE360" s="123"/>
      <c r="BF360" s="123"/>
      <c r="BG360" s="106"/>
      <c r="BH360" s="106"/>
      <c r="BI360" s="106"/>
      <c r="BJ360" s="106"/>
      <c r="BK360" s="106"/>
      <c r="BL360" s="106"/>
      <c r="BM360" s="106"/>
      <c r="BN360" s="106"/>
      <c r="BQ360" s="29"/>
      <c r="BR360" s="107"/>
      <c r="BS360" s="106"/>
    </row>
    <row r="361" spans="1:71" ht="14.5" hidden="1" outlineLevel="1" x14ac:dyDescent="0.35">
      <c r="A361" s="499"/>
      <c r="B361" s="470"/>
      <c r="C361" s="129" t="s">
        <v>74</v>
      </c>
      <c r="D361" s="129" t="s">
        <v>76</v>
      </c>
      <c r="E361" s="187"/>
      <c r="F361" s="187"/>
      <c r="G361" s="494"/>
      <c r="H361" s="497"/>
      <c r="I361" s="191"/>
      <c r="J361" s="191"/>
      <c r="K361" s="476"/>
      <c r="L361" s="454"/>
      <c r="M361" s="459"/>
      <c r="N361" s="132">
        <f t="shared" si="197"/>
        <v>0</v>
      </c>
      <c r="O361" s="132">
        <f t="shared" si="197"/>
        <v>0</v>
      </c>
      <c r="P361" s="132">
        <f t="shared" si="202"/>
        <v>0</v>
      </c>
      <c r="Q361" s="132">
        <f>Q360</f>
        <v>0</v>
      </c>
      <c r="R361" s="454"/>
      <c r="S361" s="448"/>
      <c r="T361" s="131"/>
      <c r="U361" s="131"/>
      <c r="V361" s="131"/>
      <c r="W361" s="131">
        <f>W360</f>
        <v>0</v>
      </c>
      <c r="X361" s="130">
        <f t="shared" si="198"/>
        <v>0</v>
      </c>
      <c r="Y361" s="131"/>
      <c r="Z361" s="131">
        <f t="shared" si="199"/>
        <v>0</v>
      </c>
      <c r="AA361" s="131">
        <f t="shared" si="199"/>
        <v>0</v>
      </c>
      <c r="AB361" s="131"/>
      <c r="AC361" s="131"/>
      <c r="AD361" s="131"/>
      <c r="AE361" s="131"/>
      <c r="AF361" s="131">
        <f>AF360</f>
        <v>0</v>
      </c>
      <c r="AG361" s="130">
        <f t="shared" si="200"/>
        <v>0</v>
      </c>
      <c r="AH361" s="131"/>
      <c r="AI361" s="130">
        <f>AI360</f>
        <v>0</v>
      </c>
      <c r="AJ361" s="130">
        <f>AJ360</f>
        <v>0</v>
      </c>
      <c r="AK361" s="130"/>
      <c r="AL361" s="133" t="str">
        <f t="shared" si="193"/>
        <v/>
      </c>
      <c r="AM361" s="134"/>
      <c r="AN361" s="134">
        <f>AF361</f>
        <v>0</v>
      </c>
      <c r="AO361" s="134"/>
      <c r="AP361" s="130">
        <f>AF361</f>
        <v>0</v>
      </c>
      <c r="AQ361" s="130">
        <f t="shared" si="201"/>
        <v>0</v>
      </c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30"/>
      <c r="BB361" s="130"/>
      <c r="BC361" s="130"/>
      <c r="BD361" s="130"/>
      <c r="BE361" s="130"/>
      <c r="BF361" s="130"/>
      <c r="BG361" s="31"/>
      <c r="BH361" s="31"/>
      <c r="BI361" s="31"/>
      <c r="BJ361" s="31"/>
      <c r="BK361" s="31"/>
      <c r="BL361" s="31"/>
      <c r="BM361" s="31"/>
      <c r="BN361" s="31"/>
      <c r="BQ361" s="27"/>
      <c r="BR361" s="28"/>
      <c r="BS361" s="31"/>
    </row>
    <row r="362" spans="1:71" s="227" customFormat="1" hidden="1" outlineLevel="1" x14ac:dyDescent="0.35">
      <c r="A362" s="499"/>
      <c r="B362" s="470"/>
      <c r="C362" s="217" t="s">
        <v>72</v>
      </c>
      <c r="D362" s="217" t="s">
        <v>73</v>
      </c>
      <c r="E362" s="218"/>
      <c r="F362" s="218"/>
      <c r="G362" s="494"/>
      <c r="H362" s="497"/>
      <c r="I362" s="219"/>
      <c r="J362" s="219"/>
      <c r="K362" s="476"/>
      <c r="L362" s="454"/>
      <c r="M362" s="459" t="s">
        <v>113</v>
      </c>
      <c r="N362" s="220">
        <f t="shared" si="197"/>
        <v>0</v>
      </c>
      <c r="O362" s="220">
        <f t="shared" si="197"/>
        <v>0</v>
      </c>
      <c r="P362" s="220">
        <f t="shared" si="202"/>
        <v>0</v>
      </c>
      <c r="Q362" s="220"/>
      <c r="R362" s="454"/>
      <c r="S362" s="448"/>
      <c r="T362" s="221"/>
      <c r="U362" s="221"/>
      <c r="V362" s="221"/>
      <c r="W362" s="221"/>
      <c r="X362" s="222">
        <f t="shared" si="198"/>
        <v>0</v>
      </c>
      <c r="Y362" s="221"/>
      <c r="Z362" s="221">
        <f t="shared" si="199"/>
        <v>0</v>
      </c>
      <c r="AA362" s="221">
        <f t="shared" si="199"/>
        <v>0</v>
      </c>
      <c r="AB362" s="221">
        <f t="shared" si="199"/>
        <v>0</v>
      </c>
      <c r="AC362" s="221"/>
      <c r="AD362" s="221"/>
      <c r="AE362" s="221"/>
      <c r="AF362" s="221"/>
      <c r="AG362" s="222">
        <f t="shared" si="200"/>
        <v>0</v>
      </c>
      <c r="AH362" s="221"/>
      <c r="AI362" s="222"/>
      <c r="AJ362" s="222">
        <f>AI362*1.12</f>
        <v>0</v>
      </c>
      <c r="AK362" s="218">
        <f>AH362-AE362</f>
        <v>0</v>
      </c>
      <c r="AL362" s="223" t="str">
        <f t="shared" si="193"/>
        <v/>
      </c>
      <c r="AM362" s="224"/>
      <c r="AN362" s="224"/>
      <c r="AO362" s="224"/>
      <c r="AP362" s="222"/>
      <c r="AQ362" s="222">
        <f t="shared" si="201"/>
        <v>0</v>
      </c>
      <c r="AR362" s="222"/>
      <c r="AS362" s="222"/>
      <c r="AT362" s="222"/>
      <c r="AU362" s="222"/>
      <c r="AV362" s="222"/>
      <c r="AW362" s="222"/>
      <c r="AX362" s="222"/>
      <c r="AY362" s="222"/>
      <c r="AZ362" s="218"/>
      <c r="BA362" s="222"/>
      <c r="BB362" s="222"/>
      <c r="BC362" s="222"/>
      <c r="BD362" s="222"/>
      <c r="BE362" s="222"/>
      <c r="BF362" s="222"/>
      <c r="BG362" s="226"/>
      <c r="BH362" s="226"/>
      <c r="BI362" s="226"/>
      <c r="BJ362" s="226"/>
      <c r="BK362" s="226"/>
      <c r="BL362" s="226"/>
      <c r="BM362" s="226"/>
      <c r="BN362" s="226"/>
      <c r="BQ362" s="228"/>
      <c r="BR362" s="229"/>
      <c r="BS362" s="226"/>
    </row>
    <row r="363" spans="1:71" s="103" customFormat="1" hidden="1" outlineLevel="1" x14ac:dyDescent="0.35">
      <c r="A363" s="499"/>
      <c r="B363" s="470"/>
      <c r="C363" s="122" t="s">
        <v>74</v>
      </c>
      <c r="D363" s="122" t="s">
        <v>75</v>
      </c>
      <c r="E363" s="185"/>
      <c r="F363" s="185"/>
      <c r="G363" s="494"/>
      <c r="H363" s="497"/>
      <c r="I363" s="189"/>
      <c r="J363" s="189"/>
      <c r="K363" s="476"/>
      <c r="L363" s="454"/>
      <c r="M363" s="459"/>
      <c r="N363" s="125">
        <f t="shared" si="197"/>
        <v>0</v>
      </c>
      <c r="O363" s="125">
        <f t="shared" si="197"/>
        <v>0</v>
      </c>
      <c r="P363" s="125">
        <f t="shared" si="202"/>
        <v>0</v>
      </c>
      <c r="Q363" s="125">
        <f>Q362</f>
        <v>0</v>
      </c>
      <c r="R363" s="454"/>
      <c r="S363" s="448"/>
      <c r="T363" s="124"/>
      <c r="U363" s="124"/>
      <c r="V363" s="124"/>
      <c r="W363" s="124"/>
      <c r="X363" s="123">
        <f t="shared" si="198"/>
        <v>0</v>
      </c>
      <c r="Y363" s="124"/>
      <c r="Z363" s="124">
        <f t="shared" si="199"/>
        <v>0</v>
      </c>
      <c r="AA363" s="124">
        <f t="shared" si="199"/>
        <v>0</v>
      </c>
      <c r="AB363" s="124"/>
      <c r="AC363" s="124"/>
      <c r="AD363" s="124"/>
      <c r="AE363" s="124"/>
      <c r="AF363" s="124"/>
      <c r="AG363" s="123">
        <f t="shared" si="200"/>
        <v>0</v>
      </c>
      <c r="AH363" s="124"/>
      <c r="AI363" s="123"/>
      <c r="AJ363" s="123">
        <f>AI363*1.12</f>
        <v>0</v>
      </c>
      <c r="AK363" s="123"/>
      <c r="AL363" s="126" t="str">
        <f t="shared" si="193"/>
        <v/>
      </c>
      <c r="AM363" s="127"/>
      <c r="AN363" s="127">
        <f>AF363</f>
        <v>0</v>
      </c>
      <c r="AO363" s="127"/>
      <c r="AP363" s="123">
        <f>AF363</f>
        <v>0</v>
      </c>
      <c r="AQ363" s="123">
        <f t="shared" si="201"/>
        <v>0</v>
      </c>
      <c r="AR363" s="123"/>
      <c r="AS363" s="123"/>
      <c r="AT363" s="123"/>
      <c r="AU363" s="123"/>
      <c r="AV363" s="123"/>
      <c r="AW363" s="123"/>
      <c r="AX363" s="123"/>
      <c r="AY363" s="123"/>
      <c r="AZ363" s="123"/>
      <c r="BA363" s="123"/>
      <c r="BB363" s="123"/>
      <c r="BC363" s="123"/>
      <c r="BD363" s="123"/>
      <c r="BE363" s="123"/>
      <c r="BF363" s="123"/>
      <c r="BG363" s="106"/>
      <c r="BH363" s="106"/>
      <c r="BI363" s="106"/>
      <c r="BJ363" s="106"/>
      <c r="BK363" s="106"/>
      <c r="BL363" s="106"/>
      <c r="BM363" s="106"/>
      <c r="BN363" s="106"/>
      <c r="BQ363" s="29"/>
      <c r="BR363" s="107"/>
      <c r="BS363" s="106"/>
    </row>
    <row r="364" spans="1:71" ht="14.5" hidden="1" outlineLevel="1" x14ac:dyDescent="0.35">
      <c r="A364" s="499"/>
      <c r="B364" s="470"/>
      <c r="C364" s="129" t="s">
        <v>74</v>
      </c>
      <c r="D364" s="129" t="s">
        <v>76</v>
      </c>
      <c r="E364" s="187"/>
      <c r="F364" s="187"/>
      <c r="G364" s="494"/>
      <c r="H364" s="497"/>
      <c r="I364" s="191"/>
      <c r="J364" s="191"/>
      <c r="K364" s="476"/>
      <c r="L364" s="454"/>
      <c r="M364" s="459"/>
      <c r="N364" s="132">
        <f t="shared" si="197"/>
        <v>0</v>
      </c>
      <c r="O364" s="132">
        <f t="shared" si="197"/>
        <v>0</v>
      </c>
      <c r="P364" s="132">
        <f t="shared" si="202"/>
        <v>0</v>
      </c>
      <c r="Q364" s="132">
        <f>Q363</f>
        <v>0</v>
      </c>
      <c r="R364" s="454"/>
      <c r="S364" s="448"/>
      <c r="T364" s="131"/>
      <c r="U364" s="131"/>
      <c r="V364" s="131"/>
      <c r="W364" s="131">
        <f>W363</f>
        <v>0</v>
      </c>
      <c r="X364" s="130">
        <f t="shared" si="198"/>
        <v>0</v>
      </c>
      <c r="Y364" s="131"/>
      <c r="Z364" s="131">
        <f t="shared" si="199"/>
        <v>0</v>
      </c>
      <c r="AA364" s="131">
        <f t="shared" si="199"/>
        <v>0</v>
      </c>
      <c r="AB364" s="131"/>
      <c r="AC364" s="131"/>
      <c r="AD364" s="131"/>
      <c r="AE364" s="131"/>
      <c r="AF364" s="131">
        <f>AF363</f>
        <v>0</v>
      </c>
      <c r="AG364" s="130">
        <f t="shared" si="200"/>
        <v>0</v>
      </c>
      <c r="AH364" s="131"/>
      <c r="AI364" s="130">
        <f>AI363</f>
        <v>0</v>
      </c>
      <c r="AJ364" s="130">
        <f>AJ363</f>
        <v>0</v>
      </c>
      <c r="AK364" s="130"/>
      <c r="AL364" s="133" t="str">
        <f t="shared" si="193"/>
        <v/>
      </c>
      <c r="AM364" s="134"/>
      <c r="AN364" s="134">
        <f>AF364</f>
        <v>0</v>
      </c>
      <c r="AO364" s="134"/>
      <c r="AP364" s="130">
        <f>AF364</f>
        <v>0</v>
      </c>
      <c r="AQ364" s="130">
        <f t="shared" si="201"/>
        <v>0</v>
      </c>
      <c r="AR364" s="130"/>
      <c r="AS364" s="130"/>
      <c r="AT364" s="130"/>
      <c r="AU364" s="130"/>
      <c r="AV364" s="130"/>
      <c r="AW364" s="130"/>
      <c r="AX364" s="130"/>
      <c r="AY364" s="130"/>
      <c r="AZ364" s="130"/>
      <c r="BA364" s="130"/>
      <c r="BB364" s="130"/>
      <c r="BC364" s="130"/>
      <c r="BD364" s="130"/>
      <c r="BE364" s="130"/>
      <c r="BF364" s="130"/>
      <c r="BG364" s="31"/>
      <c r="BH364" s="31"/>
      <c r="BI364" s="31"/>
      <c r="BJ364" s="31"/>
      <c r="BK364" s="31"/>
      <c r="BL364" s="31"/>
      <c r="BM364" s="31"/>
      <c r="BN364" s="31"/>
      <c r="BQ364" s="27"/>
      <c r="BR364" s="28"/>
      <c r="BS364" s="31"/>
    </row>
    <row r="365" spans="1:71" s="227" customFormat="1" hidden="1" outlineLevel="1" x14ac:dyDescent="0.35">
      <c r="A365" s="499"/>
      <c r="B365" s="470"/>
      <c r="C365" s="217" t="s">
        <v>72</v>
      </c>
      <c r="D365" s="217" t="s">
        <v>73</v>
      </c>
      <c r="E365" s="218"/>
      <c r="F365" s="218"/>
      <c r="G365" s="494"/>
      <c r="H365" s="497"/>
      <c r="I365" s="219"/>
      <c r="J365" s="219"/>
      <c r="K365" s="476"/>
      <c r="L365" s="454"/>
      <c r="M365" s="459" t="s">
        <v>113</v>
      </c>
      <c r="N365" s="220">
        <f t="shared" si="197"/>
        <v>0</v>
      </c>
      <c r="O365" s="220">
        <f t="shared" si="197"/>
        <v>0</v>
      </c>
      <c r="P365" s="220">
        <f t="shared" si="202"/>
        <v>0</v>
      </c>
      <c r="Q365" s="220"/>
      <c r="R365" s="454"/>
      <c r="S365" s="448"/>
      <c r="T365" s="221"/>
      <c r="U365" s="221"/>
      <c r="V365" s="221"/>
      <c r="W365" s="221"/>
      <c r="X365" s="222">
        <f t="shared" si="198"/>
        <v>0</v>
      </c>
      <c r="Y365" s="221"/>
      <c r="Z365" s="221">
        <f t="shared" si="199"/>
        <v>0</v>
      </c>
      <c r="AA365" s="221">
        <f t="shared" si="199"/>
        <v>0</v>
      </c>
      <c r="AB365" s="221">
        <f t="shared" si="199"/>
        <v>0</v>
      </c>
      <c r="AC365" s="221"/>
      <c r="AD365" s="221"/>
      <c r="AE365" s="221"/>
      <c r="AF365" s="221"/>
      <c r="AG365" s="222">
        <f t="shared" si="200"/>
        <v>0</v>
      </c>
      <c r="AH365" s="221"/>
      <c r="AI365" s="222"/>
      <c r="AJ365" s="222">
        <f>AI365*1.12</f>
        <v>0</v>
      </c>
      <c r="AK365" s="218">
        <f>AH365-AE365</f>
        <v>0</v>
      </c>
      <c r="AL365" s="223" t="str">
        <f t="shared" si="193"/>
        <v/>
      </c>
      <c r="AM365" s="224"/>
      <c r="AN365" s="224"/>
      <c r="AO365" s="224"/>
      <c r="AP365" s="222"/>
      <c r="AQ365" s="222">
        <f t="shared" si="201"/>
        <v>0</v>
      </c>
      <c r="AR365" s="222"/>
      <c r="AS365" s="222"/>
      <c r="AT365" s="222"/>
      <c r="AU365" s="222"/>
      <c r="AV365" s="222"/>
      <c r="AW365" s="222"/>
      <c r="AX365" s="222"/>
      <c r="AY365" s="222"/>
      <c r="AZ365" s="225"/>
      <c r="BA365" s="222"/>
      <c r="BB365" s="222"/>
      <c r="BC365" s="222"/>
      <c r="BD365" s="222"/>
      <c r="BE365" s="222"/>
      <c r="BF365" s="222"/>
      <c r="BG365" s="226"/>
      <c r="BH365" s="226"/>
      <c r="BI365" s="226"/>
      <c r="BJ365" s="226"/>
      <c r="BK365" s="226"/>
      <c r="BL365" s="226"/>
      <c r="BM365" s="226"/>
      <c r="BN365" s="226"/>
      <c r="BQ365" s="228"/>
      <c r="BR365" s="229"/>
      <c r="BS365" s="226"/>
    </row>
    <row r="366" spans="1:71" s="103" customFormat="1" hidden="1" outlineLevel="1" x14ac:dyDescent="0.35">
      <c r="A366" s="499"/>
      <c r="B366" s="470"/>
      <c r="C366" s="122" t="s">
        <v>74</v>
      </c>
      <c r="D366" s="122" t="s">
        <v>75</v>
      </c>
      <c r="E366" s="185"/>
      <c r="F366" s="185"/>
      <c r="G366" s="494"/>
      <c r="H366" s="497"/>
      <c r="I366" s="189"/>
      <c r="J366" s="189"/>
      <c r="K366" s="476"/>
      <c r="L366" s="454"/>
      <c r="M366" s="459"/>
      <c r="N366" s="125">
        <f t="shared" si="197"/>
        <v>0</v>
      </c>
      <c r="O366" s="125">
        <f t="shared" si="197"/>
        <v>0</v>
      </c>
      <c r="P366" s="125">
        <f t="shared" si="202"/>
        <v>0</v>
      </c>
      <c r="Q366" s="125">
        <f>Q365</f>
        <v>0</v>
      </c>
      <c r="R366" s="454"/>
      <c r="S366" s="448"/>
      <c r="T366" s="124"/>
      <c r="U366" s="124"/>
      <c r="V366" s="124"/>
      <c r="W366" s="124"/>
      <c r="X366" s="123">
        <f t="shared" si="198"/>
        <v>0</v>
      </c>
      <c r="Y366" s="124"/>
      <c r="Z366" s="124">
        <f t="shared" si="199"/>
        <v>0</v>
      </c>
      <c r="AA366" s="124">
        <f t="shared" si="199"/>
        <v>0</v>
      </c>
      <c r="AB366" s="124"/>
      <c r="AC366" s="124"/>
      <c r="AD366" s="124"/>
      <c r="AE366" s="124"/>
      <c r="AF366" s="124"/>
      <c r="AG366" s="123">
        <f t="shared" si="200"/>
        <v>0</v>
      </c>
      <c r="AH366" s="124"/>
      <c r="AI366" s="123"/>
      <c r="AJ366" s="123">
        <f>AI366*1.12</f>
        <v>0</v>
      </c>
      <c r="AK366" s="123"/>
      <c r="AL366" s="126" t="str">
        <f t="shared" si="193"/>
        <v/>
      </c>
      <c r="AM366" s="127"/>
      <c r="AN366" s="127">
        <f>AF366</f>
        <v>0</v>
      </c>
      <c r="AO366" s="127"/>
      <c r="AP366" s="123">
        <f>AF366</f>
        <v>0</v>
      </c>
      <c r="AQ366" s="123">
        <f t="shared" si="201"/>
        <v>0</v>
      </c>
      <c r="AR366" s="123"/>
      <c r="AS366" s="123"/>
      <c r="AT366" s="123"/>
      <c r="AU366" s="123"/>
      <c r="AV366" s="123"/>
      <c r="AW366" s="123"/>
      <c r="AX366" s="123"/>
      <c r="AY366" s="123"/>
      <c r="AZ366" s="123"/>
      <c r="BA366" s="123"/>
      <c r="BB366" s="123"/>
      <c r="BC366" s="123"/>
      <c r="BD366" s="123"/>
      <c r="BE366" s="123"/>
      <c r="BF366" s="123"/>
      <c r="BG366" s="106"/>
      <c r="BH366" s="106"/>
      <c r="BI366" s="106"/>
      <c r="BJ366" s="106"/>
      <c r="BK366" s="106"/>
      <c r="BL366" s="106"/>
      <c r="BM366" s="106"/>
      <c r="BN366" s="106"/>
      <c r="BQ366" s="29"/>
      <c r="BR366" s="107"/>
      <c r="BS366" s="106"/>
    </row>
    <row r="367" spans="1:71" ht="14.5" hidden="1" outlineLevel="1" x14ac:dyDescent="0.35">
      <c r="A367" s="499"/>
      <c r="B367" s="470"/>
      <c r="C367" s="129" t="s">
        <v>74</v>
      </c>
      <c r="D367" s="129" t="s">
        <v>76</v>
      </c>
      <c r="E367" s="187"/>
      <c r="F367" s="187"/>
      <c r="G367" s="494"/>
      <c r="H367" s="497"/>
      <c r="I367" s="191"/>
      <c r="J367" s="191"/>
      <c r="K367" s="476"/>
      <c r="L367" s="454"/>
      <c r="M367" s="459"/>
      <c r="N367" s="132">
        <f t="shared" si="197"/>
        <v>0</v>
      </c>
      <c r="O367" s="132">
        <f t="shared" si="197"/>
        <v>0</v>
      </c>
      <c r="P367" s="132">
        <f t="shared" si="202"/>
        <v>0</v>
      </c>
      <c r="Q367" s="132">
        <f>Q366</f>
        <v>0</v>
      </c>
      <c r="R367" s="454"/>
      <c r="S367" s="448"/>
      <c r="T367" s="131"/>
      <c r="U367" s="131"/>
      <c r="V367" s="131"/>
      <c r="W367" s="131">
        <f>W366</f>
        <v>0</v>
      </c>
      <c r="X367" s="130">
        <f t="shared" si="198"/>
        <v>0</v>
      </c>
      <c r="Y367" s="131"/>
      <c r="Z367" s="131">
        <f t="shared" si="199"/>
        <v>0</v>
      </c>
      <c r="AA367" s="131">
        <f t="shared" si="199"/>
        <v>0</v>
      </c>
      <c r="AB367" s="131"/>
      <c r="AC367" s="131"/>
      <c r="AD367" s="131"/>
      <c r="AE367" s="131"/>
      <c r="AF367" s="131">
        <f>AF366</f>
        <v>0</v>
      </c>
      <c r="AG367" s="130">
        <f t="shared" si="200"/>
        <v>0</v>
      </c>
      <c r="AH367" s="131"/>
      <c r="AI367" s="130">
        <f>AI366</f>
        <v>0</v>
      </c>
      <c r="AJ367" s="130">
        <f>AJ366</f>
        <v>0</v>
      </c>
      <c r="AK367" s="130"/>
      <c r="AL367" s="133" t="str">
        <f t="shared" si="193"/>
        <v/>
      </c>
      <c r="AM367" s="134"/>
      <c r="AN367" s="134">
        <f>AF367</f>
        <v>0</v>
      </c>
      <c r="AO367" s="134"/>
      <c r="AP367" s="130">
        <f>AF367</f>
        <v>0</v>
      </c>
      <c r="AQ367" s="130">
        <f t="shared" si="201"/>
        <v>0</v>
      </c>
      <c r="AR367" s="130"/>
      <c r="AS367" s="130"/>
      <c r="AT367" s="130"/>
      <c r="AU367" s="130"/>
      <c r="AV367" s="130"/>
      <c r="AW367" s="130"/>
      <c r="AX367" s="130"/>
      <c r="AY367" s="130"/>
      <c r="AZ367" s="130"/>
      <c r="BA367" s="130"/>
      <c r="BB367" s="130"/>
      <c r="BC367" s="130"/>
      <c r="BD367" s="130"/>
      <c r="BE367" s="130"/>
      <c r="BF367" s="130"/>
      <c r="BG367" s="31"/>
      <c r="BH367" s="31"/>
      <c r="BI367" s="31"/>
      <c r="BJ367" s="31"/>
      <c r="BK367" s="31"/>
      <c r="BL367" s="31"/>
      <c r="BM367" s="31"/>
      <c r="BN367" s="31"/>
      <c r="BQ367" s="27"/>
      <c r="BR367" s="28"/>
      <c r="BS367" s="31"/>
    </row>
    <row r="368" spans="1:71" s="227" customFormat="1" hidden="1" outlineLevel="1" x14ac:dyDescent="0.35">
      <c r="A368" s="499"/>
      <c r="B368" s="470"/>
      <c r="C368" s="217" t="s">
        <v>72</v>
      </c>
      <c r="D368" s="217" t="s">
        <v>73</v>
      </c>
      <c r="E368" s="218"/>
      <c r="F368" s="218"/>
      <c r="G368" s="494"/>
      <c r="H368" s="497"/>
      <c r="I368" s="219"/>
      <c r="J368" s="219"/>
      <c r="K368" s="476"/>
      <c r="L368" s="454"/>
      <c r="M368" s="459" t="s">
        <v>113</v>
      </c>
      <c r="N368" s="220">
        <f t="shared" si="197"/>
        <v>0</v>
      </c>
      <c r="O368" s="220">
        <f t="shared" si="197"/>
        <v>0</v>
      </c>
      <c r="P368" s="220">
        <f t="shared" si="202"/>
        <v>0</v>
      </c>
      <c r="Q368" s="220"/>
      <c r="R368" s="454"/>
      <c r="S368" s="448"/>
      <c r="T368" s="221"/>
      <c r="U368" s="221"/>
      <c r="V368" s="221"/>
      <c r="W368" s="221"/>
      <c r="X368" s="222">
        <f t="shared" si="198"/>
        <v>0</v>
      </c>
      <c r="Y368" s="221"/>
      <c r="Z368" s="221">
        <f t="shared" si="199"/>
        <v>0</v>
      </c>
      <c r="AA368" s="221">
        <f t="shared" si="199"/>
        <v>0</v>
      </c>
      <c r="AB368" s="221">
        <f t="shared" si="199"/>
        <v>0</v>
      </c>
      <c r="AC368" s="221"/>
      <c r="AD368" s="221"/>
      <c r="AE368" s="221"/>
      <c r="AF368" s="221"/>
      <c r="AG368" s="222">
        <f t="shared" si="200"/>
        <v>0</v>
      </c>
      <c r="AH368" s="221"/>
      <c r="AI368" s="222"/>
      <c r="AJ368" s="222">
        <f>AI368*1.12</f>
        <v>0</v>
      </c>
      <c r="AK368" s="218">
        <f>AH368-AE368</f>
        <v>0</v>
      </c>
      <c r="AL368" s="223" t="str">
        <f t="shared" si="193"/>
        <v/>
      </c>
      <c r="AM368" s="224"/>
      <c r="AN368" s="224"/>
      <c r="AO368" s="224"/>
      <c r="AP368" s="222"/>
      <c r="AQ368" s="222">
        <f t="shared" si="201"/>
        <v>0</v>
      </c>
      <c r="AR368" s="222"/>
      <c r="AS368" s="222"/>
      <c r="AT368" s="222"/>
      <c r="AU368" s="222"/>
      <c r="AV368" s="222"/>
      <c r="AW368" s="222"/>
      <c r="AX368" s="222"/>
      <c r="AY368" s="222"/>
      <c r="AZ368" s="225"/>
      <c r="BA368" s="222"/>
      <c r="BB368" s="222"/>
      <c r="BC368" s="222"/>
      <c r="BD368" s="222"/>
      <c r="BE368" s="222"/>
      <c r="BF368" s="222"/>
      <c r="BG368" s="226"/>
      <c r="BH368" s="226"/>
      <c r="BI368" s="226"/>
      <c r="BJ368" s="226"/>
      <c r="BK368" s="226"/>
      <c r="BL368" s="226"/>
      <c r="BM368" s="226"/>
      <c r="BN368" s="226"/>
      <c r="BQ368" s="228"/>
      <c r="BR368" s="229"/>
      <c r="BS368" s="226"/>
    </row>
    <row r="369" spans="1:71" s="103" customFormat="1" hidden="1" outlineLevel="1" x14ac:dyDescent="0.35">
      <c r="A369" s="499"/>
      <c r="B369" s="470"/>
      <c r="C369" s="122" t="s">
        <v>74</v>
      </c>
      <c r="D369" s="122" t="s">
        <v>75</v>
      </c>
      <c r="E369" s="185"/>
      <c r="F369" s="185"/>
      <c r="G369" s="494"/>
      <c r="H369" s="497"/>
      <c r="I369" s="189"/>
      <c r="J369" s="189"/>
      <c r="K369" s="476"/>
      <c r="L369" s="454"/>
      <c r="M369" s="459"/>
      <c r="N369" s="125">
        <f t="shared" si="197"/>
        <v>0</v>
      </c>
      <c r="O369" s="125">
        <f t="shared" si="197"/>
        <v>0</v>
      </c>
      <c r="P369" s="125">
        <f t="shared" si="202"/>
        <v>0</v>
      </c>
      <c r="Q369" s="125">
        <f>Q368</f>
        <v>0</v>
      </c>
      <c r="R369" s="454"/>
      <c r="S369" s="448"/>
      <c r="T369" s="124"/>
      <c r="U369" s="124"/>
      <c r="V369" s="124"/>
      <c r="W369" s="124"/>
      <c r="X369" s="123">
        <f t="shared" si="198"/>
        <v>0</v>
      </c>
      <c r="Y369" s="124"/>
      <c r="Z369" s="124">
        <f t="shared" si="199"/>
        <v>0</v>
      </c>
      <c r="AA369" s="124">
        <f t="shared" si="199"/>
        <v>0</v>
      </c>
      <c r="AB369" s="124"/>
      <c r="AC369" s="124"/>
      <c r="AD369" s="124"/>
      <c r="AE369" s="124"/>
      <c r="AF369" s="124"/>
      <c r="AG369" s="123">
        <f t="shared" si="200"/>
        <v>0</v>
      </c>
      <c r="AH369" s="124"/>
      <c r="AI369" s="123"/>
      <c r="AJ369" s="123">
        <f>AI369*1.12</f>
        <v>0</v>
      </c>
      <c r="AK369" s="123"/>
      <c r="AL369" s="126" t="str">
        <f t="shared" si="193"/>
        <v/>
      </c>
      <c r="AM369" s="127"/>
      <c r="AN369" s="127">
        <f>AF369</f>
        <v>0</v>
      </c>
      <c r="AO369" s="127"/>
      <c r="AP369" s="123">
        <f>AF369</f>
        <v>0</v>
      </c>
      <c r="AQ369" s="123">
        <f t="shared" si="201"/>
        <v>0</v>
      </c>
      <c r="AR369" s="123"/>
      <c r="AS369" s="123"/>
      <c r="AT369" s="123"/>
      <c r="AU369" s="123"/>
      <c r="AV369" s="123"/>
      <c r="AW369" s="123"/>
      <c r="AX369" s="123"/>
      <c r="AY369" s="123"/>
      <c r="AZ369" s="123"/>
      <c r="BA369" s="123"/>
      <c r="BB369" s="123"/>
      <c r="BC369" s="123"/>
      <c r="BD369" s="123"/>
      <c r="BE369" s="123"/>
      <c r="BF369" s="123"/>
      <c r="BG369" s="106"/>
      <c r="BH369" s="106"/>
      <c r="BI369" s="106"/>
      <c r="BJ369" s="106"/>
      <c r="BK369" s="106"/>
      <c r="BL369" s="106"/>
      <c r="BM369" s="106"/>
      <c r="BN369" s="106"/>
      <c r="BQ369" s="29"/>
      <c r="BR369" s="107"/>
      <c r="BS369" s="106"/>
    </row>
    <row r="370" spans="1:71" ht="14.5" hidden="1" outlineLevel="1" x14ac:dyDescent="0.35">
      <c r="A370" s="499"/>
      <c r="B370" s="470"/>
      <c r="C370" s="129" t="s">
        <v>74</v>
      </c>
      <c r="D370" s="129" t="s">
        <v>76</v>
      </c>
      <c r="E370" s="187"/>
      <c r="F370" s="187"/>
      <c r="G370" s="494"/>
      <c r="H370" s="497"/>
      <c r="I370" s="191"/>
      <c r="J370" s="191"/>
      <c r="K370" s="476"/>
      <c r="L370" s="454"/>
      <c r="M370" s="459"/>
      <c r="N370" s="132">
        <f t="shared" si="197"/>
        <v>0</v>
      </c>
      <c r="O370" s="132">
        <f t="shared" si="197"/>
        <v>0</v>
      </c>
      <c r="P370" s="132">
        <f t="shared" si="202"/>
        <v>0</v>
      </c>
      <c r="Q370" s="132">
        <f>Q369</f>
        <v>0</v>
      </c>
      <c r="R370" s="454"/>
      <c r="S370" s="448"/>
      <c r="T370" s="131"/>
      <c r="U370" s="131"/>
      <c r="V370" s="131"/>
      <c r="W370" s="131">
        <f>W369</f>
        <v>0</v>
      </c>
      <c r="X370" s="130">
        <f t="shared" si="198"/>
        <v>0</v>
      </c>
      <c r="Y370" s="131"/>
      <c r="Z370" s="131">
        <f t="shared" si="199"/>
        <v>0</v>
      </c>
      <c r="AA370" s="131">
        <f t="shared" si="199"/>
        <v>0</v>
      </c>
      <c r="AB370" s="131"/>
      <c r="AC370" s="131"/>
      <c r="AD370" s="131"/>
      <c r="AE370" s="131"/>
      <c r="AF370" s="131">
        <f>AF369</f>
        <v>0</v>
      </c>
      <c r="AG370" s="130">
        <f t="shared" si="200"/>
        <v>0</v>
      </c>
      <c r="AH370" s="131"/>
      <c r="AI370" s="130">
        <f>AI369</f>
        <v>0</v>
      </c>
      <c r="AJ370" s="130">
        <f>AJ369</f>
        <v>0</v>
      </c>
      <c r="AK370" s="130"/>
      <c r="AL370" s="133" t="str">
        <f t="shared" si="193"/>
        <v/>
      </c>
      <c r="AM370" s="134"/>
      <c r="AN370" s="134">
        <f>AF370</f>
        <v>0</v>
      </c>
      <c r="AO370" s="134"/>
      <c r="AP370" s="130">
        <f>AF370</f>
        <v>0</v>
      </c>
      <c r="AQ370" s="130">
        <f t="shared" si="201"/>
        <v>0</v>
      </c>
      <c r="AR370" s="130"/>
      <c r="AS370" s="130"/>
      <c r="AT370" s="130"/>
      <c r="AU370" s="130"/>
      <c r="AV370" s="130"/>
      <c r="AW370" s="130"/>
      <c r="AX370" s="130"/>
      <c r="AY370" s="130"/>
      <c r="AZ370" s="130"/>
      <c r="BA370" s="130"/>
      <c r="BB370" s="130"/>
      <c r="BC370" s="130"/>
      <c r="BD370" s="130"/>
      <c r="BE370" s="130"/>
      <c r="BF370" s="130"/>
      <c r="BG370" s="31"/>
      <c r="BH370" s="31"/>
      <c r="BI370" s="31"/>
      <c r="BJ370" s="31"/>
      <c r="BK370" s="31"/>
      <c r="BL370" s="31"/>
      <c r="BM370" s="31"/>
      <c r="BN370" s="31"/>
      <c r="BQ370" s="27"/>
      <c r="BR370" s="28"/>
      <c r="BS370" s="31"/>
    </row>
    <row r="371" spans="1:71" s="227" customFormat="1" hidden="1" outlineLevel="1" x14ac:dyDescent="0.35">
      <c r="A371" s="499"/>
      <c r="B371" s="470"/>
      <c r="C371" s="217" t="s">
        <v>72</v>
      </c>
      <c r="D371" s="217" t="s">
        <v>73</v>
      </c>
      <c r="E371" s="218"/>
      <c r="F371" s="218"/>
      <c r="G371" s="494"/>
      <c r="H371" s="497"/>
      <c r="I371" s="219"/>
      <c r="J371" s="219"/>
      <c r="K371" s="476"/>
      <c r="L371" s="454"/>
      <c r="M371" s="459" t="s">
        <v>113</v>
      </c>
      <c r="N371" s="220">
        <f t="shared" si="197"/>
        <v>0</v>
      </c>
      <c r="O371" s="220">
        <f t="shared" si="197"/>
        <v>0</v>
      </c>
      <c r="P371" s="220">
        <f t="shared" si="202"/>
        <v>0</v>
      </c>
      <c r="Q371" s="220"/>
      <c r="R371" s="454"/>
      <c r="S371" s="448"/>
      <c r="T371" s="221"/>
      <c r="U371" s="221"/>
      <c r="V371" s="221"/>
      <c r="W371" s="221"/>
      <c r="X371" s="222">
        <f t="shared" si="198"/>
        <v>0</v>
      </c>
      <c r="Y371" s="221"/>
      <c r="Z371" s="221">
        <f t="shared" si="199"/>
        <v>0</v>
      </c>
      <c r="AA371" s="221">
        <f t="shared" si="199"/>
        <v>0</v>
      </c>
      <c r="AB371" s="221">
        <f t="shared" si="199"/>
        <v>0</v>
      </c>
      <c r="AC371" s="221"/>
      <c r="AD371" s="221"/>
      <c r="AE371" s="221"/>
      <c r="AF371" s="221"/>
      <c r="AG371" s="222">
        <f t="shared" si="200"/>
        <v>0</v>
      </c>
      <c r="AH371" s="221"/>
      <c r="AI371" s="222"/>
      <c r="AJ371" s="222">
        <f>AI371*1.12</f>
        <v>0</v>
      </c>
      <c r="AK371" s="218">
        <f>AH371-AE371</f>
        <v>0</v>
      </c>
      <c r="AL371" s="223" t="str">
        <f t="shared" si="193"/>
        <v/>
      </c>
      <c r="AM371" s="224"/>
      <c r="AN371" s="224"/>
      <c r="AO371" s="224"/>
      <c r="AP371" s="222"/>
      <c r="AQ371" s="222">
        <f t="shared" si="201"/>
        <v>0</v>
      </c>
      <c r="AR371" s="222"/>
      <c r="AS371" s="222"/>
      <c r="AT371" s="222"/>
      <c r="AU371" s="222"/>
      <c r="AV371" s="222"/>
      <c r="AW371" s="222"/>
      <c r="AX371" s="222"/>
      <c r="AY371" s="222"/>
      <c r="AZ371" s="225"/>
      <c r="BA371" s="222"/>
      <c r="BB371" s="222"/>
      <c r="BC371" s="222"/>
      <c r="BD371" s="222"/>
      <c r="BE371" s="222"/>
      <c r="BF371" s="222"/>
      <c r="BG371" s="226"/>
      <c r="BH371" s="226"/>
      <c r="BI371" s="226"/>
      <c r="BJ371" s="226"/>
      <c r="BK371" s="226"/>
      <c r="BL371" s="226"/>
      <c r="BM371" s="226"/>
      <c r="BN371" s="226"/>
      <c r="BQ371" s="228"/>
      <c r="BR371" s="229"/>
      <c r="BS371" s="226"/>
    </row>
    <row r="372" spans="1:71" s="103" customFormat="1" hidden="1" outlineLevel="1" x14ac:dyDescent="0.35">
      <c r="A372" s="499"/>
      <c r="B372" s="470"/>
      <c r="C372" s="122" t="s">
        <v>74</v>
      </c>
      <c r="D372" s="122" t="s">
        <v>75</v>
      </c>
      <c r="E372" s="185"/>
      <c r="F372" s="185"/>
      <c r="G372" s="494"/>
      <c r="H372" s="497"/>
      <c r="I372" s="189"/>
      <c r="J372" s="189"/>
      <c r="K372" s="476"/>
      <c r="L372" s="454"/>
      <c r="M372" s="459"/>
      <c r="N372" s="125">
        <f t="shared" si="197"/>
        <v>0</v>
      </c>
      <c r="O372" s="125">
        <f t="shared" si="197"/>
        <v>0</v>
      </c>
      <c r="P372" s="125">
        <f t="shared" si="202"/>
        <v>0</v>
      </c>
      <c r="Q372" s="125">
        <f>Q371</f>
        <v>0</v>
      </c>
      <c r="R372" s="454"/>
      <c r="S372" s="448"/>
      <c r="T372" s="124"/>
      <c r="U372" s="124"/>
      <c r="V372" s="124"/>
      <c r="W372" s="124"/>
      <c r="X372" s="123">
        <f t="shared" si="198"/>
        <v>0</v>
      </c>
      <c r="Y372" s="124"/>
      <c r="Z372" s="124">
        <f t="shared" si="199"/>
        <v>0</v>
      </c>
      <c r="AA372" s="124">
        <f t="shared" si="199"/>
        <v>0</v>
      </c>
      <c r="AB372" s="124"/>
      <c r="AC372" s="124"/>
      <c r="AD372" s="124"/>
      <c r="AE372" s="124"/>
      <c r="AF372" s="124"/>
      <c r="AG372" s="123">
        <f t="shared" si="200"/>
        <v>0</v>
      </c>
      <c r="AH372" s="124"/>
      <c r="AI372" s="123"/>
      <c r="AJ372" s="123">
        <f>AI372*1.12</f>
        <v>0</v>
      </c>
      <c r="AK372" s="123"/>
      <c r="AL372" s="126" t="str">
        <f t="shared" si="193"/>
        <v/>
      </c>
      <c r="AM372" s="127"/>
      <c r="AN372" s="127">
        <f>AF372</f>
        <v>0</v>
      </c>
      <c r="AO372" s="127"/>
      <c r="AP372" s="123">
        <f>AF372</f>
        <v>0</v>
      </c>
      <c r="AQ372" s="123">
        <f t="shared" si="201"/>
        <v>0</v>
      </c>
      <c r="AR372" s="123"/>
      <c r="AS372" s="123"/>
      <c r="AT372" s="123"/>
      <c r="AU372" s="123"/>
      <c r="AV372" s="123"/>
      <c r="AW372" s="123"/>
      <c r="AX372" s="123"/>
      <c r="AY372" s="123"/>
      <c r="AZ372" s="123"/>
      <c r="BA372" s="123"/>
      <c r="BB372" s="123"/>
      <c r="BC372" s="123"/>
      <c r="BD372" s="123"/>
      <c r="BE372" s="123"/>
      <c r="BF372" s="123"/>
      <c r="BG372" s="106"/>
      <c r="BH372" s="106"/>
      <c r="BI372" s="106"/>
      <c r="BJ372" s="106"/>
      <c r="BK372" s="106"/>
      <c r="BL372" s="106"/>
      <c r="BM372" s="106"/>
      <c r="BN372" s="106"/>
      <c r="BQ372" s="29"/>
      <c r="BR372" s="107"/>
      <c r="BS372" s="106"/>
    </row>
    <row r="373" spans="1:71" ht="14.5" hidden="1" outlineLevel="1" x14ac:dyDescent="0.35">
      <c r="A373" s="499"/>
      <c r="B373" s="470"/>
      <c r="C373" s="129" t="s">
        <v>74</v>
      </c>
      <c r="D373" s="129" t="s">
        <v>76</v>
      </c>
      <c r="E373" s="187"/>
      <c r="F373" s="187"/>
      <c r="G373" s="494"/>
      <c r="H373" s="497"/>
      <c r="I373" s="191"/>
      <c r="J373" s="191"/>
      <c r="K373" s="476"/>
      <c r="L373" s="454"/>
      <c r="M373" s="459"/>
      <c r="N373" s="132">
        <f t="shared" si="197"/>
        <v>0</v>
      </c>
      <c r="O373" s="132">
        <f t="shared" si="197"/>
        <v>0</v>
      </c>
      <c r="P373" s="132">
        <f t="shared" si="202"/>
        <v>0</v>
      </c>
      <c r="Q373" s="132">
        <f>Q372</f>
        <v>0</v>
      </c>
      <c r="R373" s="454"/>
      <c r="S373" s="448"/>
      <c r="T373" s="131"/>
      <c r="U373" s="131"/>
      <c r="V373" s="131"/>
      <c r="W373" s="131">
        <f>W372</f>
        <v>0</v>
      </c>
      <c r="X373" s="130">
        <f t="shared" si="198"/>
        <v>0</v>
      </c>
      <c r="Y373" s="131"/>
      <c r="Z373" s="131">
        <f t="shared" si="199"/>
        <v>0</v>
      </c>
      <c r="AA373" s="131">
        <f t="shared" si="199"/>
        <v>0</v>
      </c>
      <c r="AB373" s="131"/>
      <c r="AC373" s="131"/>
      <c r="AD373" s="131"/>
      <c r="AE373" s="131"/>
      <c r="AF373" s="131">
        <f>AF372</f>
        <v>0</v>
      </c>
      <c r="AG373" s="130">
        <f t="shared" si="200"/>
        <v>0</v>
      </c>
      <c r="AH373" s="131"/>
      <c r="AI373" s="130">
        <f>AI372</f>
        <v>0</v>
      </c>
      <c r="AJ373" s="130">
        <f>AJ372</f>
        <v>0</v>
      </c>
      <c r="AK373" s="130"/>
      <c r="AL373" s="133" t="str">
        <f t="shared" si="193"/>
        <v/>
      </c>
      <c r="AM373" s="134"/>
      <c r="AN373" s="134">
        <f>AF373</f>
        <v>0</v>
      </c>
      <c r="AO373" s="134"/>
      <c r="AP373" s="130">
        <f>AF373</f>
        <v>0</v>
      </c>
      <c r="AQ373" s="130">
        <f t="shared" si="201"/>
        <v>0</v>
      </c>
      <c r="AR373" s="130"/>
      <c r="AS373" s="130"/>
      <c r="AT373" s="130"/>
      <c r="AU373" s="130"/>
      <c r="AV373" s="130"/>
      <c r="AW373" s="130"/>
      <c r="AX373" s="130"/>
      <c r="AY373" s="130"/>
      <c r="AZ373" s="130"/>
      <c r="BA373" s="130"/>
      <c r="BB373" s="130"/>
      <c r="BC373" s="130"/>
      <c r="BD373" s="130"/>
      <c r="BE373" s="130"/>
      <c r="BF373" s="130"/>
      <c r="BG373" s="31"/>
      <c r="BH373" s="31"/>
      <c r="BI373" s="31"/>
      <c r="BJ373" s="31"/>
      <c r="BK373" s="31"/>
      <c r="BL373" s="31"/>
      <c r="BM373" s="31"/>
      <c r="BN373" s="31"/>
      <c r="BQ373" s="27"/>
      <c r="BR373" s="28"/>
      <c r="BS373" s="31"/>
    </row>
    <row r="374" spans="1:71" s="227" customFormat="1" hidden="1" outlineLevel="1" x14ac:dyDescent="0.35">
      <c r="A374" s="499"/>
      <c r="B374" s="470"/>
      <c r="C374" s="217" t="s">
        <v>72</v>
      </c>
      <c r="D374" s="217" t="s">
        <v>73</v>
      </c>
      <c r="E374" s="218"/>
      <c r="F374" s="218"/>
      <c r="G374" s="494"/>
      <c r="H374" s="497"/>
      <c r="I374" s="219"/>
      <c r="J374" s="219"/>
      <c r="K374" s="476"/>
      <c r="L374" s="454"/>
      <c r="M374" s="459" t="s">
        <v>113</v>
      </c>
      <c r="N374" s="220">
        <f t="shared" si="197"/>
        <v>0</v>
      </c>
      <c r="O374" s="220">
        <f t="shared" si="197"/>
        <v>0</v>
      </c>
      <c r="P374" s="220">
        <f t="shared" si="202"/>
        <v>0</v>
      </c>
      <c r="Q374" s="220"/>
      <c r="R374" s="454"/>
      <c r="S374" s="448"/>
      <c r="T374" s="221"/>
      <c r="U374" s="221"/>
      <c r="V374" s="221"/>
      <c r="W374" s="221"/>
      <c r="X374" s="222">
        <f t="shared" si="198"/>
        <v>0</v>
      </c>
      <c r="Y374" s="221"/>
      <c r="Z374" s="221">
        <f t="shared" si="199"/>
        <v>0</v>
      </c>
      <c r="AA374" s="221">
        <f t="shared" si="199"/>
        <v>0</v>
      </c>
      <c r="AB374" s="221">
        <f t="shared" si="199"/>
        <v>0</v>
      </c>
      <c r="AC374" s="221"/>
      <c r="AD374" s="221"/>
      <c r="AE374" s="221"/>
      <c r="AF374" s="221"/>
      <c r="AG374" s="222">
        <f t="shared" si="200"/>
        <v>0</v>
      </c>
      <c r="AH374" s="221"/>
      <c r="AI374" s="222"/>
      <c r="AJ374" s="222">
        <f>AI374*1.12</f>
        <v>0</v>
      </c>
      <c r="AK374" s="218">
        <f>AH374-AE374</f>
        <v>0</v>
      </c>
      <c r="AL374" s="223" t="str">
        <f t="shared" si="193"/>
        <v/>
      </c>
      <c r="AM374" s="224"/>
      <c r="AN374" s="224"/>
      <c r="AO374" s="224"/>
      <c r="AP374" s="222"/>
      <c r="AQ374" s="222">
        <f t="shared" si="201"/>
        <v>0</v>
      </c>
      <c r="AR374" s="222"/>
      <c r="AS374" s="222"/>
      <c r="AT374" s="222"/>
      <c r="AU374" s="222"/>
      <c r="AV374" s="222"/>
      <c r="AW374" s="222"/>
      <c r="AX374" s="222"/>
      <c r="AY374" s="222"/>
      <c r="AZ374" s="225"/>
      <c r="BA374" s="222"/>
      <c r="BB374" s="222"/>
      <c r="BC374" s="222"/>
      <c r="BD374" s="222"/>
      <c r="BE374" s="222"/>
      <c r="BF374" s="222"/>
      <c r="BG374" s="226"/>
      <c r="BH374" s="226"/>
      <c r="BI374" s="226"/>
      <c r="BJ374" s="226"/>
      <c r="BK374" s="226"/>
      <c r="BL374" s="226"/>
      <c r="BM374" s="226"/>
      <c r="BN374" s="226"/>
      <c r="BQ374" s="228"/>
      <c r="BR374" s="229"/>
      <c r="BS374" s="226"/>
    </row>
    <row r="375" spans="1:71" s="103" customFormat="1" hidden="1" outlineLevel="1" x14ac:dyDescent="0.35">
      <c r="A375" s="499"/>
      <c r="B375" s="470"/>
      <c r="C375" s="122" t="s">
        <v>74</v>
      </c>
      <c r="D375" s="122" t="s">
        <v>75</v>
      </c>
      <c r="E375" s="185"/>
      <c r="F375" s="185"/>
      <c r="G375" s="494"/>
      <c r="H375" s="497"/>
      <c r="I375" s="189"/>
      <c r="J375" s="189"/>
      <c r="K375" s="476"/>
      <c r="L375" s="454"/>
      <c r="M375" s="459"/>
      <c r="N375" s="125">
        <f t="shared" si="197"/>
        <v>0</v>
      </c>
      <c r="O375" s="125">
        <f t="shared" si="197"/>
        <v>0</v>
      </c>
      <c r="P375" s="125">
        <f t="shared" si="202"/>
        <v>0</v>
      </c>
      <c r="Q375" s="125">
        <f>Q374</f>
        <v>0</v>
      </c>
      <c r="R375" s="454"/>
      <c r="S375" s="448"/>
      <c r="T375" s="124"/>
      <c r="U375" s="124"/>
      <c r="V375" s="124"/>
      <c r="W375" s="124"/>
      <c r="X375" s="123">
        <f t="shared" si="198"/>
        <v>0</v>
      </c>
      <c r="Y375" s="124"/>
      <c r="Z375" s="124">
        <f t="shared" si="199"/>
        <v>0</v>
      </c>
      <c r="AA375" s="124">
        <f t="shared" si="199"/>
        <v>0</v>
      </c>
      <c r="AB375" s="124"/>
      <c r="AC375" s="124"/>
      <c r="AD375" s="124"/>
      <c r="AE375" s="124"/>
      <c r="AF375" s="124"/>
      <c r="AG375" s="123">
        <f t="shared" si="200"/>
        <v>0</v>
      </c>
      <c r="AH375" s="124"/>
      <c r="AI375" s="123"/>
      <c r="AJ375" s="123">
        <f>AI375*1.12</f>
        <v>0</v>
      </c>
      <c r="AK375" s="123"/>
      <c r="AL375" s="126" t="str">
        <f t="shared" si="193"/>
        <v/>
      </c>
      <c r="AM375" s="127"/>
      <c r="AN375" s="127">
        <f>AF375</f>
        <v>0</v>
      </c>
      <c r="AO375" s="127"/>
      <c r="AP375" s="123">
        <f>AF375</f>
        <v>0</v>
      </c>
      <c r="AQ375" s="123">
        <f t="shared" si="201"/>
        <v>0</v>
      </c>
      <c r="AR375" s="123"/>
      <c r="AS375" s="123"/>
      <c r="AT375" s="123"/>
      <c r="AU375" s="123"/>
      <c r="AV375" s="123"/>
      <c r="AW375" s="123"/>
      <c r="AX375" s="123"/>
      <c r="AY375" s="123"/>
      <c r="AZ375" s="123"/>
      <c r="BA375" s="123"/>
      <c r="BB375" s="123"/>
      <c r="BC375" s="123"/>
      <c r="BD375" s="123"/>
      <c r="BE375" s="123"/>
      <c r="BF375" s="123"/>
      <c r="BG375" s="106"/>
      <c r="BH375" s="106"/>
      <c r="BI375" s="106"/>
      <c r="BJ375" s="106"/>
      <c r="BK375" s="106"/>
      <c r="BL375" s="106"/>
      <c r="BM375" s="106"/>
      <c r="BN375" s="106"/>
      <c r="BQ375" s="29"/>
      <c r="BR375" s="107"/>
      <c r="BS375" s="106"/>
    </row>
    <row r="376" spans="1:71" ht="14.5" hidden="1" outlineLevel="1" x14ac:dyDescent="0.35">
      <c r="A376" s="439"/>
      <c r="B376" s="437"/>
      <c r="C376" s="129" t="s">
        <v>74</v>
      </c>
      <c r="D376" s="129" t="s">
        <v>76</v>
      </c>
      <c r="E376" s="187"/>
      <c r="F376" s="187"/>
      <c r="G376" s="495"/>
      <c r="H376" s="498"/>
      <c r="I376" s="191"/>
      <c r="J376" s="191"/>
      <c r="K376" s="476"/>
      <c r="L376" s="454"/>
      <c r="M376" s="459"/>
      <c r="N376" s="132">
        <f t="shared" si="197"/>
        <v>0</v>
      </c>
      <c r="O376" s="132">
        <f t="shared" si="197"/>
        <v>0</v>
      </c>
      <c r="P376" s="132">
        <f t="shared" si="202"/>
        <v>0</v>
      </c>
      <c r="Q376" s="132">
        <f>Q375</f>
        <v>0</v>
      </c>
      <c r="R376" s="454"/>
      <c r="S376" s="448"/>
      <c r="T376" s="131"/>
      <c r="U376" s="131"/>
      <c r="V376" s="131"/>
      <c r="W376" s="131">
        <f>W375</f>
        <v>0</v>
      </c>
      <c r="X376" s="130">
        <f t="shared" si="198"/>
        <v>0</v>
      </c>
      <c r="Y376" s="131"/>
      <c r="Z376" s="131">
        <f t="shared" si="199"/>
        <v>0</v>
      </c>
      <c r="AA376" s="131">
        <f t="shared" si="199"/>
        <v>0</v>
      </c>
      <c r="AB376" s="131"/>
      <c r="AC376" s="131"/>
      <c r="AD376" s="131"/>
      <c r="AE376" s="131"/>
      <c r="AF376" s="131">
        <f>AF375</f>
        <v>0</v>
      </c>
      <c r="AG376" s="130">
        <f t="shared" si="200"/>
        <v>0</v>
      </c>
      <c r="AH376" s="131"/>
      <c r="AI376" s="130">
        <f>AI375</f>
        <v>0</v>
      </c>
      <c r="AJ376" s="130">
        <f>AJ375</f>
        <v>0</v>
      </c>
      <c r="AK376" s="130"/>
      <c r="AL376" s="133" t="str">
        <f t="shared" si="193"/>
        <v/>
      </c>
      <c r="AM376" s="134"/>
      <c r="AN376" s="134">
        <f>AF376</f>
        <v>0</v>
      </c>
      <c r="AO376" s="134"/>
      <c r="AP376" s="130">
        <f>AF376</f>
        <v>0</v>
      </c>
      <c r="AQ376" s="130">
        <f t="shared" si="201"/>
        <v>0</v>
      </c>
      <c r="AR376" s="130"/>
      <c r="AS376" s="130"/>
      <c r="AT376" s="130"/>
      <c r="AU376" s="130"/>
      <c r="AV376" s="130"/>
      <c r="AW376" s="130"/>
      <c r="AX376" s="130"/>
      <c r="AY376" s="130"/>
      <c r="AZ376" s="130"/>
      <c r="BA376" s="130"/>
      <c r="BB376" s="130"/>
      <c r="BC376" s="130"/>
      <c r="BD376" s="130"/>
      <c r="BE376" s="130"/>
      <c r="BF376" s="130"/>
      <c r="BG376" s="31"/>
      <c r="BH376" s="31"/>
      <c r="BI376" s="31"/>
      <c r="BJ376" s="31"/>
      <c r="BK376" s="31"/>
      <c r="BL376" s="31"/>
      <c r="BM376" s="31"/>
      <c r="BN376" s="31"/>
      <c r="BQ376" s="27"/>
      <c r="BR376" s="28"/>
      <c r="BS376" s="31"/>
    </row>
    <row r="377" spans="1:71" s="212" customFormat="1" ht="12.75" customHeight="1" collapsed="1" x14ac:dyDescent="0.35">
      <c r="A377" s="438"/>
      <c r="B377" s="436" t="s">
        <v>172</v>
      </c>
      <c r="C377" s="202"/>
      <c r="D377" s="202"/>
      <c r="E377" s="203">
        <f>E379+E382+E397</f>
        <v>20318</v>
      </c>
      <c r="F377" s="203">
        <f>F379+F382+F397</f>
        <v>22756.160000000003</v>
      </c>
      <c r="G377" s="204"/>
      <c r="H377" s="203">
        <f>H379+H382+H397</f>
        <v>5</v>
      </c>
      <c r="I377" s="203">
        <f>I379+I382+I397</f>
        <v>20318</v>
      </c>
      <c r="J377" s="203">
        <f>J379+J382+J397</f>
        <v>22756.160000000003</v>
      </c>
      <c r="K377" s="486" t="s">
        <v>173</v>
      </c>
      <c r="L377" s="487"/>
      <c r="M377" s="500" t="s">
        <v>113</v>
      </c>
      <c r="N377" s="205">
        <f t="shared" ref="N377:Q378" si="203">N379+N382+N397+N385+N388+N391+N394</f>
        <v>19911640</v>
      </c>
      <c r="O377" s="205">
        <f t="shared" si="203"/>
        <v>22301036.800000001</v>
      </c>
      <c r="P377" s="205">
        <f t="shared" si="203"/>
        <v>19911640</v>
      </c>
      <c r="Q377" s="205">
        <f t="shared" si="203"/>
        <v>22301036.800000001</v>
      </c>
      <c r="R377" s="206"/>
      <c r="S377" s="492">
        <f t="shared" ref="S377:AK377" si="204">S379+S382+S397+S385+S388+S391+S394</f>
        <v>5</v>
      </c>
      <c r="T377" s="203">
        <f t="shared" si="204"/>
        <v>0</v>
      </c>
      <c r="U377" s="203">
        <f t="shared" si="204"/>
        <v>0</v>
      </c>
      <c r="V377" s="203">
        <f t="shared" si="204"/>
        <v>0</v>
      </c>
      <c r="W377" s="203">
        <f t="shared" si="204"/>
        <v>0</v>
      </c>
      <c r="X377" s="203">
        <f t="shared" si="204"/>
        <v>0</v>
      </c>
      <c r="Y377" s="203">
        <f t="shared" si="204"/>
        <v>0</v>
      </c>
      <c r="Z377" s="203">
        <f t="shared" si="204"/>
        <v>0</v>
      </c>
      <c r="AA377" s="203">
        <f t="shared" si="204"/>
        <v>0</v>
      </c>
      <c r="AB377" s="203">
        <f t="shared" si="204"/>
        <v>0</v>
      </c>
      <c r="AC377" s="203">
        <f t="shared" si="204"/>
        <v>53537</v>
      </c>
      <c r="AD377" s="203">
        <f t="shared" si="204"/>
        <v>59961.440000000002</v>
      </c>
      <c r="AE377" s="203">
        <f t="shared" si="204"/>
        <v>5</v>
      </c>
      <c r="AF377" s="203">
        <f t="shared" si="204"/>
        <v>53537.168899999997</v>
      </c>
      <c r="AG377" s="203">
        <f t="shared" si="204"/>
        <v>59961.629167999999</v>
      </c>
      <c r="AH377" s="203">
        <f t="shared" si="204"/>
        <v>5</v>
      </c>
      <c r="AI377" s="203">
        <f t="shared" si="204"/>
        <v>0.16889999999693828</v>
      </c>
      <c r="AJ377" s="203">
        <f t="shared" si="204"/>
        <v>0.18916799999657088</v>
      </c>
      <c r="AK377" s="203">
        <f t="shared" si="204"/>
        <v>0</v>
      </c>
      <c r="AL377" s="208">
        <f t="shared" si="193"/>
        <v>1.0000031548275023</v>
      </c>
      <c r="AM377" s="203">
        <f>AM379+AM382+AM397+AM385+AM388+AM391+AM394</f>
        <v>0</v>
      </c>
      <c r="AN377" s="203">
        <f t="shared" ref="AN377:BF378" si="205">AN379+AN382+AN397+AN385+AN388+AN391+AN394</f>
        <v>0</v>
      </c>
      <c r="AO377" s="203">
        <f t="shared" si="205"/>
        <v>0</v>
      </c>
      <c r="AP377" s="203">
        <f t="shared" si="205"/>
        <v>19488.995746626926</v>
      </c>
      <c r="AQ377" s="203">
        <f t="shared" si="205"/>
        <v>21827.67523622216</v>
      </c>
      <c r="AR377" s="203">
        <f t="shared" si="205"/>
        <v>5</v>
      </c>
      <c r="AS377" s="203">
        <f t="shared" si="205"/>
        <v>0</v>
      </c>
      <c r="AT377" s="203">
        <f t="shared" si="205"/>
        <v>0</v>
      </c>
      <c r="AU377" s="203">
        <f t="shared" si="205"/>
        <v>0</v>
      </c>
      <c r="AV377" s="203">
        <f t="shared" si="205"/>
        <v>0</v>
      </c>
      <c r="AW377" s="203">
        <f t="shared" si="205"/>
        <v>0</v>
      </c>
      <c r="AX377" s="203">
        <f t="shared" si="205"/>
        <v>0</v>
      </c>
      <c r="AY377" s="203">
        <f t="shared" si="205"/>
        <v>0</v>
      </c>
      <c r="AZ377" s="203">
        <f t="shared" si="205"/>
        <v>0</v>
      </c>
      <c r="BA377" s="203">
        <f t="shared" si="205"/>
        <v>0</v>
      </c>
      <c r="BB377" s="203">
        <f t="shared" si="205"/>
        <v>0</v>
      </c>
      <c r="BC377" s="203">
        <f t="shared" si="205"/>
        <v>0</v>
      </c>
      <c r="BD377" s="203">
        <f t="shared" si="205"/>
        <v>0</v>
      </c>
      <c r="BE377" s="203">
        <f t="shared" si="205"/>
        <v>0</v>
      </c>
      <c r="BF377" s="203">
        <f t="shared" si="205"/>
        <v>0</v>
      </c>
      <c r="BG377" s="209" t="s">
        <v>84</v>
      </c>
      <c r="BH377" s="210"/>
      <c r="BI377" s="207">
        <f>BI379+BI382+BI647+BI652+BI656</f>
        <v>0</v>
      </c>
      <c r="BJ377" s="207">
        <f>BJ379+BJ382+BJ647+BJ652+BJ656</f>
        <v>0</v>
      </c>
      <c r="BK377" s="207">
        <f>BK379+BK382+BK647+BK652+BK656</f>
        <v>0</v>
      </c>
      <c r="BL377" s="211"/>
      <c r="BM377" s="211"/>
      <c r="BN377" s="210"/>
      <c r="BQ377" s="213"/>
      <c r="BR377" s="214"/>
      <c r="BS377" s="210"/>
    </row>
    <row r="378" spans="1:71" s="212" customFormat="1" x14ac:dyDescent="0.35">
      <c r="A378" s="499"/>
      <c r="B378" s="470"/>
      <c r="C378" s="202"/>
      <c r="D378" s="202"/>
      <c r="E378" s="203">
        <f>E380+E383+E398</f>
        <v>20318</v>
      </c>
      <c r="F378" s="203">
        <f>F380+F383+F398</f>
        <v>22756.160000000003</v>
      </c>
      <c r="G378" s="204"/>
      <c r="H378" s="203"/>
      <c r="I378" s="203">
        <f>I380+I383+I398</f>
        <v>20318</v>
      </c>
      <c r="J378" s="203">
        <f>J380+J383+J398</f>
        <v>22756.160000000003</v>
      </c>
      <c r="K378" s="488"/>
      <c r="L378" s="489"/>
      <c r="M378" s="500"/>
      <c r="N378" s="205">
        <f t="shared" si="203"/>
        <v>19911640</v>
      </c>
      <c r="O378" s="205">
        <f t="shared" si="203"/>
        <v>22301036.800000001</v>
      </c>
      <c r="P378" s="205">
        <f t="shared" si="203"/>
        <v>19911640</v>
      </c>
      <c r="Q378" s="205">
        <f t="shared" si="203"/>
        <v>22301036.800000001</v>
      </c>
      <c r="R378" s="206"/>
      <c r="S378" s="492"/>
      <c r="T378" s="203">
        <f>T380+T383+T398+T386+T389+T392+T395</f>
        <v>0</v>
      </c>
      <c r="U378" s="203">
        <f>U380+U383+U398+U386+U389+U392+U395</f>
        <v>0</v>
      </c>
      <c r="V378" s="216"/>
      <c r="W378" s="203">
        <f>W380+W383+W398+W386+W389+W392+W395</f>
        <v>0</v>
      </c>
      <c r="X378" s="203">
        <f>X380+X383+X398+X386+X389+X392+X395</f>
        <v>0</v>
      </c>
      <c r="Y378" s="216"/>
      <c r="Z378" s="203">
        <f>Z380+Z383+Z398+Z386+Z389+Z392+Z395</f>
        <v>0</v>
      </c>
      <c r="AA378" s="203">
        <f>AA380+AA383+AA398+AA386+AA389+AA392+AA395</f>
        <v>0</v>
      </c>
      <c r="AB378" s="216"/>
      <c r="AC378" s="203">
        <f>AC380+AC383+AC398+AC386+AC389+AC392+AC395</f>
        <v>11227.5</v>
      </c>
      <c r="AD378" s="203">
        <f>AD380+AD383+AD398+AD386+AD389+AD392+AD395</f>
        <v>12574.800000000001</v>
      </c>
      <c r="AE378" s="216"/>
      <c r="AF378" s="203">
        <f>AF380+AF383+AF398+AF386+AF389+AF392+AF395</f>
        <v>0</v>
      </c>
      <c r="AG378" s="203">
        <f>AG380+AG383+AG398+AG386+AG389+AG392+AG395</f>
        <v>0</v>
      </c>
      <c r="AH378" s="216"/>
      <c r="AI378" s="203">
        <f>AI380+AI383+AI398+AI386+AI389+AI392+AI395</f>
        <v>0</v>
      </c>
      <c r="AJ378" s="203">
        <f>AJ380+AJ383+AJ398+AJ386+AJ389+AJ392+AJ395</f>
        <v>0</v>
      </c>
      <c r="AK378" s="216"/>
      <c r="AL378" s="208">
        <f t="shared" si="193"/>
        <v>0</v>
      </c>
      <c r="AM378" s="203">
        <f>AM380+AM383+AM398+AM386+AM389+AM392+AM395</f>
        <v>0</v>
      </c>
      <c r="AN378" s="203">
        <f t="shared" si="205"/>
        <v>0</v>
      </c>
      <c r="AO378" s="203">
        <f t="shared" si="205"/>
        <v>0</v>
      </c>
      <c r="AP378" s="203">
        <f t="shared" si="205"/>
        <v>19488.995746626926</v>
      </c>
      <c r="AQ378" s="203">
        <f t="shared" si="205"/>
        <v>21827.67523622216</v>
      </c>
      <c r="AR378" s="203">
        <f t="shared" si="205"/>
        <v>0</v>
      </c>
      <c r="AS378" s="203">
        <f t="shared" si="205"/>
        <v>0</v>
      </c>
      <c r="AT378" s="203">
        <f t="shared" si="205"/>
        <v>0</v>
      </c>
      <c r="AU378" s="203">
        <f t="shared" si="205"/>
        <v>0</v>
      </c>
      <c r="AV378" s="203">
        <f t="shared" si="205"/>
        <v>0</v>
      </c>
      <c r="AW378" s="203">
        <f t="shared" si="205"/>
        <v>0</v>
      </c>
      <c r="AX378" s="203">
        <f t="shared" si="205"/>
        <v>0</v>
      </c>
      <c r="AY378" s="203">
        <f t="shared" si="205"/>
        <v>0</v>
      </c>
      <c r="AZ378" s="203">
        <f t="shared" si="205"/>
        <v>0</v>
      </c>
      <c r="BA378" s="203">
        <f t="shared" si="205"/>
        <v>0</v>
      </c>
      <c r="BB378" s="203">
        <f t="shared" si="205"/>
        <v>0</v>
      </c>
      <c r="BC378" s="203">
        <f t="shared" si="205"/>
        <v>0</v>
      </c>
      <c r="BD378" s="203">
        <f t="shared" si="205"/>
        <v>0</v>
      </c>
      <c r="BE378" s="203">
        <f t="shared" si="205"/>
        <v>0</v>
      </c>
      <c r="BF378" s="203">
        <f t="shared" si="205"/>
        <v>0</v>
      </c>
      <c r="BG378" s="210"/>
      <c r="BH378" s="210"/>
      <c r="BI378" s="207">
        <f>BI380+BI383+BI641+BI644+BI647+BI650</f>
        <v>0</v>
      </c>
      <c r="BJ378" s="207">
        <f>BJ380+BJ383+BJ641+BJ644+BJ647+BJ650</f>
        <v>0</v>
      </c>
      <c r="BK378" s="207">
        <f>BK380+BK383+BK641+BK644+BK647+BK650</f>
        <v>0</v>
      </c>
      <c r="BL378" s="211"/>
      <c r="BM378" s="211"/>
      <c r="BN378" s="210"/>
      <c r="BQ378" s="213"/>
      <c r="BR378" s="214"/>
      <c r="BS378" s="210"/>
    </row>
    <row r="379" spans="1:71" s="227" customFormat="1" ht="22.5" customHeight="1" x14ac:dyDescent="0.35">
      <c r="A379" s="499"/>
      <c r="B379" s="470"/>
      <c r="C379" s="217" t="s">
        <v>72</v>
      </c>
      <c r="D379" s="217" t="s">
        <v>73</v>
      </c>
      <c r="E379" s="218">
        <f>I379</f>
        <v>20318</v>
      </c>
      <c r="F379" s="218">
        <f>E379*1.12</f>
        <v>22756.160000000003</v>
      </c>
      <c r="G379" s="493">
        <v>2020</v>
      </c>
      <c r="H379" s="496">
        <v>5</v>
      </c>
      <c r="I379" s="219">
        <v>20318</v>
      </c>
      <c r="J379" s="219">
        <f>I379*1.12</f>
        <v>22756.160000000003</v>
      </c>
      <c r="K379" s="476" t="s">
        <v>166</v>
      </c>
      <c r="L379" s="454" t="s">
        <v>167</v>
      </c>
      <c r="M379" s="459" t="s">
        <v>113</v>
      </c>
      <c r="N379" s="220">
        <f t="shared" ref="N379:O399" si="206">P379</f>
        <v>19911640</v>
      </c>
      <c r="O379" s="220">
        <f t="shared" si="206"/>
        <v>22301036.800000001</v>
      </c>
      <c r="P379" s="220">
        <v>19911640</v>
      </c>
      <c r="Q379" s="220">
        <f>P379*1.12</f>
        <v>22301036.800000001</v>
      </c>
      <c r="R379" s="454" t="s">
        <v>106</v>
      </c>
      <c r="S379" s="448">
        <v>5</v>
      </c>
      <c r="T379" s="221"/>
      <c r="U379" s="221"/>
      <c r="V379" s="221"/>
      <c r="W379" s="221"/>
      <c r="X379" s="222">
        <f t="shared" ref="X379:X399" si="207">W379*1.12</f>
        <v>0</v>
      </c>
      <c r="Y379" s="221"/>
      <c r="Z379" s="221">
        <f t="shared" ref="Z379:AB399" si="208">T379+W379</f>
        <v>0</v>
      </c>
      <c r="AA379" s="221">
        <f t="shared" si="208"/>
        <v>0</v>
      </c>
      <c r="AB379" s="221">
        <f t="shared" si="208"/>
        <v>0</v>
      </c>
      <c r="AC379" s="221">
        <v>53537</v>
      </c>
      <c r="AD379" s="221">
        <f>AC379*1.12</f>
        <v>59961.440000000002</v>
      </c>
      <c r="AE379" s="221">
        <f>2+2+1</f>
        <v>5</v>
      </c>
      <c r="AF379" s="221">
        <f>53537168.9/1000</f>
        <v>53537.168899999997</v>
      </c>
      <c r="AG379" s="222">
        <f t="shared" ref="AG379:AG399" si="209">AF379*1.12</f>
        <v>59961.629167999999</v>
      </c>
      <c r="AH379" s="221">
        <v>5</v>
      </c>
      <c r="AI379" s="222">
        <f>AF379+AF382+AF385+AF388+AF391+AF394+AF397-AC379</f>
        <v>0.16889999999693828</v>
      </c>
      <c r="AJ379" s="222">
        <f>AI379*1.12</f>
        <v>0.18916799999657088</v>
      </c>
      <c r="AK379" s="218">
        <f>AH379-AE379</f>
        <v>0</v>
      </c>
      <c r="AL379" s="223">
        <f t="shared" si="193"/>
        <v>1.0000031548275023</v>
      </c>
      <c r="AM379" s="224"/>
      <c r="AN379" s="224"/>
      <c r="AO379" s="224"/>
      <c r="AP379" s="222">
        <v>19488.995746626926</v>
      </c>
      <c r="AQ379" s="222">
        <f t="shared" ref="AQ379:AQ399" si="210">AP379*1.12</f>
        <v>21827.67523622216</v>
      </c>
      <c r="AR379" s="222">
        <v>5</v>
      </c>
      <c r="AS379" s="225"/>
      <c r="AT379" s="222"/>
      <c r="AU379" s="222"/>
      <c r="AV379" s="222"/>
      <c r="AW379" s="222"/>
      <c r="AX379" s="222"/>
      <c r="AY379" s="222"/>
      <c r="AZ379" s="218"/>
      <c r="BA379" s="222"/>
      <c r="BB379" s="222"/>
      <c r="BC379" s="222"/>
      <c r="BD379" s="222"/>
      <c r="BE379" s="222"/>
      <c r="BF379" s="225"/>
      <c r="BG379" s="226"/>
      <c r="BH379" s="226"/>
      <c r="BI379" s="226"/>
      <c r="BJ379" s="226"/>
      <c r="BK379" s="226"/>
      <c r="BL379" s="226"/>
      <c r="BM379" s="226"/>
      <c r="BN379" s="226"/>
      <c r="BQ379" s="228"/>
      <c r="BR379" s="229"/>
      <c r="BS379" s="226"/>
    </row>
    <row r="380" spans="1:71" s="103" customFormat="1" ht="22.5" customHeight="1" x14ac:dyDescent="0.35">
      <c r="A380" s="499"/>
      <c r="B380" s="470"/>
      <c r="C380" s="122" t="s">
        <v>74</v>
      </c>
      <c r="D380" s="122" t="s">
        <v>75</v>
      </c>
      <c r="E380" s="185">
        <f>E379</f>
        <v>20318</v>
      </c>
      <c r="F380" s="185">
        <f>E380*1.12</f>
        <v>22756.160000000003</v>
      </c>
      <c r="G380" s="494"/>
      <c r="H380" s="497"/>
      <c r="I380" s="189">
        <f>I379</f>
        <v>20318</v>
      </c>
      <c r="J380" s="189">
        <f>I380*1.12</f>
        <v>22756.160000000003</v>
      </c>
      <c r="K380" s="476"/>
      <c r="L380" s="454"/>
      <c r="M380" s="459"/>
      <c r="N380" s="125">
        <f t="shared" si="206"/>
        <v>19911640</v>
      </c>
      <c r="O380" s="125">
        <f t="shared" si="206"/>
        <v>22301036.800000001</v>
      </c>
      <c r="P380" s="125">
        <f t="shared" ref="P380:P399" si="211">Q380/1.12</f>
        <v>19911640</v>
      </c>
      <c r="Q380" s="125">
        <f>Q379</f>
        <v>22301036.800000001</v>
      </c>
      <c r="R380" s="454"/>
      <c r="S380" s="448"/>
      <c r="T380" s="124"/>
      <c r="U380" s="124"/>
      <c r="V380" s="124"/>
      <c r="W380" s="124"/>
      <c r="X380" s="123">
        <f t="shared" si="207"/>
        <v>0</v>
      </c>
      <c r="Y380" s="124"/>
      <c r="Z380" s="124">
        <f t="shared" si="208"/>
        <v>0</v>
      </c>
      <c r="AA380" s="124">
        <f t="shared" si="208"/>
        <v>0</v>
      </c>
      <c r="AB380" s="124"/>
      <c r="AC380" s="124">
        <v>11227.5</v>
      </c>
      <c r="AD380" s="124">
        <f>AC380*1.12</f>
        <v>12574.800000000001</v>
      </c>
      <c r="AE380" s="124"/>
      <c r="AF380" s="124"/>
      <c r="AG380" s="123">
        <f t="shared" si="209"/>
        <v>0</v>
      </c>
      <c r="AH380" s="124"/>
      <c r="AI380" s="123"/>
      <c r="AJ380" s="123">
        <f>AI380*1.12</f>
        <v>0</v>
      </c>
      <c r="AK380" s="123"/>
      <c r="AL380" s="126">
        <f t="shared" si="193"/>
        <v>0</v>
      </c>
      <c r="AM380" s="127"/>
      <c r="AN380" s="127">
        <f>AF380</f>
        <v>0</v>
      </c>
      <c r="AO380" s="127"/>
      <c r="AP380" s="123">
        <v>19488.995746626926</v>
      </c>
      <c r="AQ380" s="123">
        <f t="shared" si="210"/>
        <v>21827.67523622216</v>
      </c>
      <c r="AR380" s="123"/>
      <c r="AS380" s="123"/>
      <c r="AT380" s="123"/>
      <c r="AU380" s="123"/>
      <c r="AV380" s="123"/>
      <c r="AW380" s="123"/>
      <c r="AX380" s="123"/>
      <c r="AY380" s="123"/>
      <c r="AZ380" s="123"/>
      <c r="BA380" s="123"/>
      <c r="BB380" s="123"/>
      <c r="BC380" s="123"/>
      <c r="BD380" s="123"/>
      <c r="BE380" s="123"/>
      <c r="BF380" s="123"/>
      <c r="BG380" s="106"/>
      <c r="BH380" s="106"/>
      <c r="BI380" s="106"/>
      <c r="BJ380" s="106"/>
      <c r="BK380" s="106"/>
      <c r="BL380" s="106"/>
      <c r="BM380" s="106"/>
      <c r="BN380" s="106"/>
      <c r="BQ380" s="29"/>
      <c r="BR380" s="107"/>
      <c r="BS380" s="106"/>
    </row>
    <row r="381" spans="1:71" ht="22.5" customHeight="1" x14ac:dyDescent="0.35">
      <c r="A381" s="499"/>
      <c r="B381" s="470"/>
      <c r="C381" s="129" t="s">
        <v>74</v>
      </c>
      <c r="D381" s="129" t="s">
        <v>76</v>
      </c>
      <c r="E381" s="187">
        <f>E380</f>
        <v>20318</v>
      </c>
      <c r="F381" s="187">
        <f>F380</f>
        <v>22756.160000000003</v>
      </c>
      <c r="G381" s="494"/>
      <c r="H381" s="497"/>
      <c r="I381" s="191">
        <f>I380</f>
        <v>20318</v>
      </c>
      <c r="J381" s="191">
        <f>J380</f>
        <v>22756.160000000003</v>
      </c>
      <c r="K381" s="476"/>
      <c r="L381" s="454"/>
      <c r="M381" s="459"/>
      <c r="N381" s="132">
        <f t="shared" si="206"/>
        <v>19911640</v>
      </c>
      <c r="O381" s="132">
        <f t="shared" si="206"/>
        <v>22301036.800000001</v>
      </c>
      <c r="P381" s="132">
        <f t="shared" si="211"/>
        <v>19911640</v>
      </c>
      <c r="Q381" s="132">
        <f>Q380</f>
        <v>22301036.800000001</v>
      </c>
      <c r="R381" s="454"/>
      <c r="S381" s="448"/>
      <c r="T381" s="131"/>
      <c r="U381" s="131"/>
      <c r="V381" s="131"/>
      <c r="W381" s="131">
        <f>W380</f>
        <v>0</v>
      </c>
      <c r="X381" s="130">
        <f t="shared" si="207"/>
        <v>0</v>
      </c>
      <c r="Y381" s="131"/>
      <c r="Z381" s="131">
        <f t="shared" si="208"/>
        <v>0</v>
      </c>
      <c r="AA381" s="131">
        <f t="shared" si="208"/>
        <v>0</v>
      </c>
      <c r="AB381" s="131"/>
      <c r="AC381" s="131">
        <f>AC380</f>
        <v>11227.5</v>
      </c>
      <c r="AD381" s="131">
        <f>AD380</f>
        <v>12574.800000000001</v>
      </c>
      <c r="AE381" s="131"/>
      <c r="AF381" s="131">
        <f>AF380</f>
        <v>0</v>
      </c>
      <c r="AG381" s="130">
        <f t="shared" si="209"/>
        <v>0</v>
      </c>
      <c r="AH381" s="131"/>
      <c r="AI381" s="130">
        <f>AI380</f>
        <v>0</v>
      </c>
      <c r="AJ381" s="130">
        <f>AJ380</f>
        <v>0</v>
      </c>
      <c r="AK381" s="130"/>
      <c r="AL381" s="133">
        <f t="shared" si="193"/>
        <v>0</v>
      </c>
      <c r="AM381" s="134"/>
      <c r="AN381" s="134">
        <f>AF381</f>
        <v>0</v>
      </c>
      <c r="AO381" s="134"/>
      <c r="AP381" s="130">
        <v>19488.995746626926</v>
      </c>
      <c r="AQ381" s="130">
        <f t="shared" si="210"/>
        <v>21827.67523622216</v>
      </c>
      <c r="AR381" s="130"/>
      <c r="AS381" s="130"/>
      <c r="AT381" s="130"/>
      <c r="AU381" s="130"/>
      <c r="AV381" s="130"/>
      <c r="AW381" s="130"/>
      <c r="AX381" s="130"/>
      <c r="AY381" s="130"/>
      <c r="AZ381" s="130"/>
      <c r="BA381" s="130"/>
      <c r="BB381" s="130"/>
      <c r="BC381" s="130"/>
      <c r="BD381" s="130"/>
      <c r="BE381" s="130"/>
      <c r="BF381" s="130"/>
      <c r="BG381" s="31"/>
      <c r="BH381" s="31"/>
      <c r="BI381" s="31"/>
      <c r="BJ381" s="31"/>
      <c r="BK381" s="31"/>
      <c r="BL381" s="31"/>
      <c r="BM381" s="31"/>
      <c r="BN381" s="31"/>
      <c r="BQ381" s="27"/>
      <c r="BR381" s="28"/>
      <c r="BS381" s="31"/>
    </row>
    <row r="382" spans="1:71" s="227" customFormat="1" hidden="1" outlineLevel="1" x14ac:dyDescent="0.35">
      <c r="A382" s="499"/>
      <c r="B382" s="470"/>
      <c r="C382" s="217" t="s">
        <v>72</v>
      </c>
      <c r="D382" s="217" t="s">
        <v>73</v>
      </c>
      <c r="E382" s="218"/>
      <c r="F382" s="218"/>
      <c r="G382" s="494"/>
      <c r="H382" s="497"/>
      <c r="I382" s="219"/>
      <c r="J382" s="219"/>
      <c r="K382" s="476"/>
      <c r="L382" s="454"/>
      <c r="M382" s="459" t="s">
        <v>113</v>
      </c>
      <c r="N382" s="220">
        <f t="shared" si="206"/>
        <v>0</v>
      </c>
      <c r="O382" s="220">
        <f t="shared" si="206"/>
        <v>0</v>
      </c>
      <c r="P382" s="220">
        <f t="shared" si="211"/>
        <v>0</v>
      </c>
      <c r="Q382" s="220"/>
      <c r="R382" s="454"/>
      <c r="S382" s="448"/>
      <c r="T382" s="221"/>
      <c r="U382" s="221"/>
      <c r="V382" s="221"/>
      <c r="W382" s="221"/>
      <c r="X382" s="222">
        <f t="shared" si="207"/>
        <v>0</v>
      </c>
      <c r="Y382" s="221"/>
      <c r="Z382" s="221">
        <f t="shared" si="208"/>
        <v>0</v>
      </c>
      <c r="AA382" s="221">
        <f t="shared" si="208"/>
        <v>0</v>
      </c>
      <c r="AB382" s="221">
        <f t="shared" si="208"/>
        <v>0</v>
      </c>
      <c r="AC382" s="221"/>
      <c r="AD382" s="221"/>
      <c r="AE382" s="221"/>
      <c r="AF382" s="221"/>
      <c r="AG382" s="222">
        <f t="shared" si="209"/>
        <v>0</v>
      </c>
      <c r="AH382" s="221"/>
      <c r="AI382" s="222"/>
      <c r="AJ382" s="222">
        <f>AI382*1.12</f>
        <v>0</v>
      </c>
      <c r="AK382" s="218">
        <f>AH382-AE382</f>
        <v>0</v>
      </c>
      <c r="AL382" s="223" t="str">
        <f t="shared" si="193"/>
        <v/>
      </c>
      <c r="AM382" s="224"/>
      <c r="AN382" s="224"/>
      <c r="AO382" s="224"/>
      <c r="AP382" s="222"/>
      <c r="AQ382" s="222">
        <f t="shared" si="210"/>
        <v>0</v>
      </c>
      <c r="AR382" s="222"/>
      <c r="AS382" s="222"/>
      <c r="AT382" s="222"/>
      <c r="AU382" s="222"/>
      <c r="AV382" s="222"/>
      <c r="AW382" s="222"/>
      <c r="AX382" s="222"/>
      <c r="AY382" s="222"/>
      <c r="AZ382" s="225"/>
      <c r="BA382" s="222"/>
      <c r="BB382" s="222"/>
      <c r="BC382" s="222"/>
      <c r="BD382" s="222"/>
      <c r="BE382" s="222"/>
      <c r="BF382" s="222"/>
      <c r="BG382" s="226"/>
      <c r="BH382" s="226"/>
      <c r="BI382" s="226"/>
      <c r="BJ382" s="226"/>
      <c r="BK382" s="226"/>
      <c r="BL382" s="226"/>
      <c r="BM382" s="226"/>
      <c r="BN382" s="226"/>
      <c r="BQ382" s="228"/>
      <c r="BR382" s="229"/>
      <c r="BS382" s="226"/>
    </row>
    <row r="383" spans="1:71" s="103" customFormat="1" hidden="1" outlineLevel="1" x14ac:dyDescent="0.35">
      <c r="A383" s="499"/>
      <c r="B383" s="470"/>
      <c r="C383" s="122" t="s">
        <v>74</v>
      </c>
      <c r="D383" s="122" t="s">
        <v>75</v>
      </c>
      <c r="E383" s="185"/>
      <c r="F383" s="185"/>
      <c r="G383" s="494"/>
      <c r="H383" s="497"/>
      <c r="I383" s="189"/>
      <c r="J383" s="189"/>
      <c r="K383" s="476"/>
      <c r="L383" s="454"/>
      <c r="M383" s="459"/>
      <c r="N383" s="125">
        <f t="shared" si="206"/>
        <v>0</v>
      </c>
      <c r="O383" s="125">
        <f t="shared" si="206"/>
        <v>0</v>
      </c>
      <c r="P383" s="125">
        <f t="shared" si="211"/>
        <v>0</v>
      </c>
      <c r="Q383" s="125">
        <f>Q382</f>
        <v>0</v>
      </c>
      <c r="R383" s="454"/>
      <c r="S383" s="448"/>
      <c r="T383" s="124"/>
      <c r="U383" s="124"/>
      <c r="V383" s="124"/>
      <c r="W383" s="124"/>
      <c r="X383" s="123">
        <f t="shared" si="207"/>
        <v>0</v>
      </c>
      <c r="Y383" s="124"/>
      <c r="Z383" s="124">
        <f t="shared" si="208"/>
        <v>0</v>
      </c>
      <c r="AA383" s="124">
        <f t="shared" si="208"/>
        <v>0</v>
      </c>
      <c r="AB383" s="124"/>
      <c r="AC383" s="124"/>
      <c r="AD383" s="124"/>
      <c r="AE383" s="124"/>
      <c r="AF383" s="124"/>
      <c r="AG383" s="123">
        <f t="shared" si="209"/>
        <v>0</v>
      </c>
      <c r="AH383" s="124"/>
      <c r="AI383" s="123"/>
      <c r="AJ383" s="123">
        <f>AI383*1.12</f>
        <v>0</v>
      </c>
      <c r="AK383" s="123"/>
      <c r="AL383" s="126" t="str">
        <f t="shared" si="193"/>
        <v/>
      </c>
      <c r="AM383" s="127"/>
      <c r="AN383" s="127">
        <f>AF383</f>
        <v>0</v>
      </c>
      <c r="AO383" s="127"/>
      <c r="AP383" s="123">
        <f>AF383</f>
        <v>0</v>
      </c>
      <c r="AQ383" s="123">
        <f t="shared" si="210"/>
        <v>0</v>
      </c>
      <c r="AR383" s="123"/>
      <c r="AS383" s="123"/>
      <c r="AT383" s="123"/>
      <c r="AU383" s="123"/>
      <c r="AV383" s="123"/>
      <c r="AW383" s="123"/>
      <c r="AX383" s="123"/>
      <c r="AY383" s="123"/>
      <c r="AZ383" s="123"/>
      <c r="BA383" s="123"/>
      <c r="BB383" s="123"/>
      <c r="BC383" s="123"/>
      <c r="BD383" s="123"/>
      <c r="BE383" s="123"/>
      <c r="BF383" s="123"/>
      <c r="BG383" s="106"/>
      <c r="BH383" s="106"/>
      <c r="BI383" s="106"/>
      <c r="BJ383" s="106"/>
      <c r="BK383" s="106"/>
      <c r="BL383" s="106"/>
      <c r="BM383" s="106"/>
      <c r="BN383" s="106"/>
      <c r="BQ383" s="29"/>
      <c r="BR383" s="107"/>
      <c r="BS383" s="106"/>
    </row>
    <row r="384" spans="1:71" ht="14.5" hidden="1" outlineLevel="1" x14ac:dyDescent="0.35">
      <c r="A384" s="499"/>
      <c r="B384" s="470"/>
      <c r="C384" s="129" t="s">
        <v>74</v>
      </c>
      <c r="D384" s="129" t="s">
        <v>76</v>
      </c>
      <c r="E384" s="187"/>
      <c r="F384" s="187"/>
      <c r="G384" s="494"/>
      <c r="H384" s="497"/>
      <c r="I384" s="191"/>
      <c r="J384" s="191"/>
      <c r="K384" s="476"/>
      <c r="L384" s="454"/>
      <c r="M384" s="459"/>
      <c r="N384" s="132">
        <f t="shared" si="206"/>
        <v>0</v>
      </c>
      <c r="O384" s="132">
        <f t="shared" si="206"/>
        <v>0</v>
      </c>
      <c r="P384" s="132">
        <f t="shared" si="211"/>
        <v>0</v>
      </c>
      <c r="Q384" s="132">
        <f>Q383</f>
        <v>0</v>
      </c>
      <c r="R384" s="454"/>
      <c r="S384" s="448"/>
      <c r="T384" s="131"/>
      <c r="U384" s="131"/>
      <c r="V384" s="131"/>
      <c r="W384" s="131">
        <f>W383</f>
        <v>0</v>
      </c>
      <c r="X384" s="130">
        <f t="shared" si="207"/>
        <v>0</v>
      </c>
      <c r="Y384" s="131"/>
      <c r="Z384" s="131">
        <f t="shared" si="208"/>
        <v>0</v>
      </c>
      <c r="AA384" s="131">
        <f t="shared" si="208"/>
        <v>0</v>
      </c>
      <c r="AB384" s="131"/>
      <c r="AC384" s="131"/>
      <c r="AD384" s="131"/>
      <c r="AE384" s="131"/>
      <c r="AF384" s="131">
        <f>AF383</f>
        <v>0</v>
      </c>
      <c r="AG384" s="130">
        <f t="shared" si="209"/>
        <v>0</v>
      </c>
      <c r="AH384" s="131"/>
      <c r="AI384" s="130">
        <f>AI383</f>
        <v>0</v>
      </c>
      <c r="AJ384" s="130">
        <f>AJ383</f>
        <v>0</v>
      </c>
      <c r="AK384" s="130"/>
      <c r="AL384" s="133" t="str">
        <f t="shared" si="193"/>
        <v/>
      </c>
      <c r="AM384" s="134"/>
      <c r="AN384" s="134">
        <f>AF384</f>
        <v>0</v>
      </c>
      <c r="AO384" s="134"/>
      <c r="AP384" s="130">
        <f>AF384</f>
        <v>0</v>
      </c>
      <c r="AQ384" s="130">
        <f t="shared" si="210"/>
        <v>0</v>
      </c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  <c r="BC384" s="130"/>
      <c r="BD384" s="130"/>
      <c r="BE384" s="130"/>
      <c r="BF384" s="130"/>
      <c r="BG384" s="31"/>
      <c r="BH384" s="31"/>
      <c r="BI384" s="31"/>
      <c r="BJ384" s="31"/>
      <c r="BK384" s="31"/>
      <c r="BL384" s="31"/>
      <c r="BM384" s="31"/>
      <c r="BN384" s="31"/>
      <c r="BQ384" s="27"/>
      <c r="BR384" s="28"/>
      <c r="BS384" s="31"/>
    </row>
    <row r="385" spans="1:71" s="227" customFormat="1" hidden="1" outlineLevel="1" x14ac:dyDescent="0.35">
      <c r="A385" s="499"/>
      <c r="B385" s="470"/>
      <c r="C385" s="217" t="s">
        <v>72</v>
      </c>
      <c r="D385" s="217" t="s">
        <v>73</v>
      </c>
      <c r="E385" s="218"/>
      <c r="F385" s="218"/>
      <c r="G385" s="494"/>
      <c r="H385" s="497"/>
      <c r="I385" s="219"/>
      <c r="J385" s="219"/>
      <c r="K385" s="476"/>
      <c r="L385" s="454"/>
      <c r="M385" s="459" t="s">
        <v>113</v>
      </c>
      <c r="N385" s="220">
        <f t="shared" si="206"/>
        <v>0</v>
      </c>
      <c r="O385" s="220">
        <f t="shared" si="206"/>
        <v>0</v>
      </c>
      <c r="P385" s="220">
        <f t="shared" si="211"/>
        <v>0</v>
      </c>
      <c r="Q385" s="220"/>
      <c r="R385" s="454"/>
      <c r="S385" s="448"/>
      <c r="T385" s="221"/>
      <c r="U385" s="221"/>
      <c r="V385" s="221"/>
      <c r="W385" s="221"/>
      <c r="X385" s="222">
        <f t="shared" si="207"/>
        <v>0</v>
      </c>
      <c r="Y385" s="221"/>
      <c r="Z385" s="221">
        <f t="shared" si="208"/>
        <v>0</v>
      </c>
      <c r="AA385" s="221">
        <f t="shared" si="208"/>
        <v>0</v>
      </c>
      <c r="AB385" s="221">
        <f t="shared" si="208"/>
        <v>0</v>
      </c>
      <c r="AC385" s="221"/>
      <c r="AD385" s="221"/>
      <c r="AE385" s="221"/>
      <c r="AF385" s="221"/>
      <c r="AG385" s="222">
        <f t="shared" si="209"/>
        <v>0</v>
      </c>
      <c r="AH385" s="221"/>
      <c r="AI385" s="222"/>
      <c r="AJ385" s="222">
        <f>AI385*1.12</f>
        <v>0</v>
      </c>
      <c r="AK385" s="218">
        <f>AH385-AE385</f>
        <v>0</v>
      </c>
      <c r="AL385" s="223" t="str">
        <f t="shared" si="193"/>
        <v/>
      </c>
      <c r="AM385" s="224"/>
      <c r="AN385" s="224"/>
      <c r="AO385" s="224"/>
      <c r="AP385" s="222"/>
      <c r="AQ385" s="222">
        <f t="shared" si="210"/>
        <v>0</v>
      </c>
      <c r="AR385" s="222"/>
      <c r="AS385" s="222"/>
      <c r="AT385" s="222"/>
      <c r="AU385" s="222"/>
      <c r="AV385" s="222"/>
      <c r="AW385" s="222"/>
      <c r="AX385" s="222"/>
      <c r="AY385" s="222"/>
      <c r="AZ385" s="218"/>
      <c r="BA385" s="222"/>
      <c r="BB385" s="222"/>
      <c r="BC385" s="222"/>
      <c r="BD385" s="222"/>
      <c r="BE385" s="222"/>
      <c r="BF385" s="222"/>
      <c r="BG385" s="226"/>
      <c r="BH385" s="226"/>
      <c r="BI385" s="226"/>
      <c r="BJ385" s="226"/>
      <c r="BK385" s="226"/>
      <c r="BL385" s="226"/>
      <c r="BM385" s="226"/>
      <c r="BN385" s="226"/>
      <c r="BQ385" s="228"/>
      <c r="BR385" s="229"/>
      <c r="BS385" s="226"/>
    </row>
    <row r="386" spans="1:71" s="103" customFormat="1" hidden="1" outlineLevel="1" x14ac:dyDescent="0.35">
      <c r="A386" s="499"/>
      <c r="B386" s="470"/>
      <c r="C386" s="122" t="s">
        <v>74</v>
      </c>
      <c r="D386" s="122" t="s">
        <v>75</v>
      </c>
      <c r="E386" s="185"/>
      <c r="F386" s="185"/>
      <c r="G386" s="494"/>
      <c r="H386" s="497"/>
      <c r="I386" s="189"/>
      <c r="J386" s="189"/>
      <c r="K386" s="476"/>
      <c r="L386" s="454"/>
      <c r="M386" s="459"/>
      <c r="N386" s="125">
        <f t="shared" si="206"/>
        <v>0</v>
      </c>
      <c r="O386" s="125">
        <f t="shared" si="206"/>
        <v>0</v>
      </c>
      <c r="P386" s="125">
        <f t="shared" si="211"/>
        <v>0</v>
      </c>
      <c r="Q386" s="125">
        <f>Q385</f>
        <v>0</v>
      </c>
      <c r="R386" s="454"/>
      <c r="S386" s="448"/>
      <c r="T386" s="124"/>
      <c r="U386" s="124"/>
      <c r="V386" s="124"/>
      <c r="W386" s="124"/>
      <c r="X386" s="123">
        <f t="shared" si="207"/>
        <v>0</v>
      </c>
      <c r="Y386" s="124"/>
      <c r="Z386" s="124">
        <f t="shared" si="208"/>
        <v>0</v>
      </c>
      <c r="AA386" s="124">
        <f t="shared" si="208"/>
        <v>0</v>
      </c>
      <c r="AB386" s="124"/>
      <c r="AC386" s="124"/>
      <c r="AD386" s="124"/>
      <c r="AE386" s="124"/>
      <c r="AF386" s="124"/>
      <c r="AG386" s="123">
        <f t="shared" si="209"/>
        <v>0</v>
      </c>
      <c r="AH386" s="124"/>
      <c r="AI386" s="123"/>
      <c r="AJ386" s="123">
        <f>AI386*1.12</f>
        <v>0</v>
      </c>
      <c r="AK386" s="123"/>
      <c r="AL386" s="126" t="str">
        <f t="shared" si="193"/>
        <v/>
      </c>
      <c r="AM386" s="127"/>
      <c r="AN386" s="127">
        <f>AF386</f>
        <v>0</v>
      </c>
      <c r="AO386" s="127"/>
      <c r="AP386" s="123">
        <f>AF386</f>
        <v>0</v>
      </c>
      <c r="AQ386" s="123">
        <f t="shared" si="210"/>
        <v>0</v>
      </c>
      <c r="AR386" s="123"/>
      <c r="AS386" s="123"/>
      <c r="AT386" s="123"/>
      <c r="AU386" s="123"/>
      <c r="AV386" s="123"/>
      <c r="AW386" s="123"/>
      <c r="AX386" s="123"/>
      <c r="AY386" s="123"/>
      <c r="AZ386" s="123"/>
      <c r="BA386" s="123"/>
      <c r="BB386" s="123"/>
      <c r="BC386" s="123"/>
      <c r="BD386" s="123"/>
      <c r="BE386" s="123"/>
      <c r="BF386" s="123"/>
      <c r="BG386" s="106"/>
      <c r="BH386" s="106"/>
      <c r="BI386" s="106"/>
      <c r="BJ386" s="106"/>
      <c r="BK386" s="106"/>
      <c r="BL386" s="106"/>
      <c r="BM386" s="106"/>
      <c r="BN386" s="106"/>
      <c r="BQ386" s="29"/>
      <c r="BR386" s="107"/>
      <c r="BS386" s="106"/>
    </row>
    <row r="387" spans="1:71" ht="14.5" hidden="1" outlineLevel="1" x14ac:dyDescent="0.35">
      <c r="A387" s="499"/>
      <c r="B387" s="470"/>
      <c r="C387" s="129" t="s">
        <v>74</v>
      </c>
      <c r="D387" s="129" t="s">
        <v>76</v>
      </c>
      <c r="E387" s="187"/>
      <c r="F387" s="187"/>
      <c r="G387" s="494"/>
      <c r="H387" s="497"/>
      <c r="I387" s="191"/>
      <c r="J387" s="191"/>
      <c r="K387" s="476"/>
      <c r="L387" s="454"/>
      <c r="M387" s="459"/>
      <c r="N387" s="132">
        <f t="shared" si="206"/>
        <v>0</v>
      </c>
      <c r="O387" s="132">
        <f t="shared" si="206"/>
        <v>0</v>
      </c>
      <c r="P387" s="132">
        <f t="shared" si="211"/>
        <v>0</v>
      </c>
      <c r="Q387" s="132">
        <f>Q386</f>
        <v>0</v>
      </c>
      <c r="R387" s="454"/>
      <c r="S387" s="448"/>
      <c r="T387" s="131"/>
      <c r="U387" s="131"/>
      <c r="V387" s="131"/>
      <c r="W387" s="131">
        <f>W386</f>
        <v>0</v>
      </c>
      <c r="X387" s="130">
        <f t="shared" si="207"/>
        <v>0</v>
      </c>
      <c r="Y387" s="131"/>
      <c r="Z387" s="131">
        <f t="shared" si="208"/>
        <v>0</v>
      </c>
      <c r="AA387" s="131">
        <f t="shared" si="208"/>
        <v>0</v>
      </c>
      <c r="AB387" s="131"/>
      <c r="AC387" s="131"/>
      <c r="AD387" s="131"/>
      <c r="AE387" s="131"/>
      <c r="AF387" s="131">
        <f>AF386</f>
        <v>0</v>
      </c>
      <c r="AG387" s="130">
        <f t="shared" si="209"/>
        <v>0</v>
      </c>
      <c r="AH387" s="131"/>
      <c r="AI387" s="130">
        <f>AI386</f>
        <v>0</v>
      </c>
      <c r="AJ387" s="130">
        <f>AJ386</f>
        <v>0</v>
      </c>
      <c r="AK387" s="130"/>
      <c r="AL387" s="133" t="str">
        <f t="shared" si="193"/>
        <v/>
      </c>
      <c r="AM387" s="134"/>
      <c r="AN387" s="134">
        <f>AF387</f>
        <v>0</v>
      </c>
      <c r="AO387" s="134"/>
      <c r="AP387" s="130">
        <f>AF387</f>
        <v>0</v>
      </c>
      <c r="AQ387" s="130">
        <f t="shared" si="210"/>
        <v>0</v>
      </c>
      <c r="AR387" s="130"/>
      <c r="AS387" s="130"/>
      <c r="AT387" s="130"/>
      <c r="AU387" s="130"/>
      <c r="AV387" s="130"/>
      <c r="AW387" s="130"/>
      <c r="AX387" s="130"/>
      <c r="AY387" s="130"/>
      <c r="AZ387" s="130"/>
      <c r="BA387" s="130"/>
      <c r="BB387" s="130"/>
      <c r="BC387" s="130"/>
      <c r="BD387" s="130"/>
      <c r="BE387" s="130"/>
      <c r="BF387" s="130"/>
      <c r="BG387" s="31"/>
      <c r="BH387" s="31"/>
      <c r="BI387" s="31"/>
      <c r="BJ387" s="31"/>
      <c r="BK387" s="31"/>
      <c r="BL387" s="31"/>
      <c r="BM387" s="31"/>
      <c r="BN387" s="31"/>
      <c r="BQ387" s="27"/>
      <c r="BR387" s="28"/>
      <c r="BS387" s="31"/>
    </row>
    <row r="388" spans="1:71" s="227" customFormat="1" hidden="1" outlineLevel="1" x14ac:dyDescent="0.35">
      <c r="A388" s="499"/>
      <c r="B388" s="470"/>
      <c r="C388" s="217" t="s">
        <v>72</v>
      </c>
      <c r="D388" s="217" t="s">
        <v>73</v>
      </c>
      <c r="E388" s="218"/>
      <c r="F388" s="218"/>
      <c r="G388" s="494"/>
      <c r="H388" s="497"/>
      <c r="I388" s="219"/>
      <c r="J388" s="219"/>
      <c r="K388" s="476"/>
      <c r="L388" s="454"/>
      <c r="M388" s="459" t="s">
        <v>113</v>
      </c>
      <c r="N388" s="220">
        <f t="shared" si="206"/>
        <v>0</v>
      </c>
      <c r="O388" s="220">
        <f t="shared" si="206"/>
        <v>0</v>
      </c>
      <c r="P388" s="220">
        <f t="shared" si="211"/>
        <v>0</v>
      </c>
      <c r="Q388" s="220"/>
      <c r="R388" s="454"/>
      <c r="S388" s="448"/>
      <c r="T388" s="221"/>
      <c r="U388" s="221"/>
      <c r="V388" s="221"/>
      <c r="W388" s="221"/>
      <c r="X388" s="222">
        <f t="shared" si="207"/>
        <v>0</v>
      </c>
      <c r="Y388" s="221"/>
      <c r="Z388" s="221">
        <f t="shared" si="208"/>
        <v>0</v>
      </c>
      <c r="AA388" s="221">
        <f t="shared" si="208"/>
        <v>0</v>
      </c>
      <c r="AB388" s="221">
        <f t="shared" si="208"/>
        <v>0</v>
      </c>
      <c r="AC388" s="221"/>
      <c r="AD388" s="221"/>
      <c r="AE388" s="221"/>
      <c r="AF388" s="221"/>
      <c r="AG388" s="222">
        <f t="shared" si="209"/>
        <v>0</v>
      </c>
      <c r="AH388" s="221"/>
      <c r="AI388" s="222"/>
      <c r="AJ388" s="222">
        <f>AI388*1.12</f>
        <v>0</v>
      </c>
      <c r="AK388" s="218">
        <f>AH388-AE388</f>
        <v>0</v>
      </c>
      <c r="AL388" s="223" t="str">
        <f t="shared" si="193"/>
        <v/>
      </c>
      <c r="AM388" s="224"/>
      <c r="AN388" s="224"/>
      <c r="AO388" s="224"/>
      <c r="AP388" s="222"/>
      <c r="AQ388" s="222">
        <f t="shared" si="210"/>
        <v>0</v>
      </c>
      <c r="AR388" s="222"/>
      <c r="AS388" s="222"/>
      <c r="AT388" s="222"/>
      <c r="AU388" s="222"/>
      <c r="AV388" s="222"/>
      <c r="AW388" s="222"/>
      <c r="AX388" s="222"/>
      <c r="AY388" s="222"/>
      <c r="AZ388" s="225"/>
      <c r="BA388" s="222"/>
      <c r="BB388" s="222"/>
      <c r="BC388" s="222"/>
      <c r="BD388" s="222"/>
      <c r="BE388" s="222"/>
      <c r="BF388" s="222"/>
      <c r="BG388" s="226"/>
      <c r="BH388" s="226"/>
      <c r="BI388" s="226"/>
      <c r="BJ388" s="226"/>
      <c r="BK388" s="226"/>
      <c r="BL388" s="226"/>
      <c r="BM388" s="226"/>
      <c r="BN388" s="226"/>
      <c r="BQ388" s="228"/>
      <c r="BR388" s="229"/>
      <c r="BS388" s="226"/>
    </row>
    <row r="389" spans="1:71" s="103" customFormat="1" hidden="1" outlineLevel="1" x14ac:dyDescent="0.35">
      <c r="A389" s="499"/>
      <c r="B389" s="470"/>
      <c r="C389" s="122" t="s">
        <v>74</v>
      </c>
      <c r="D389" s="122" t="s">
        <v>75</v>
      </c>
      <c r="E389" s="185"/>
      <c r="F389" s="185"/>
      <c r="G389" s="494"/>
      <c r="H389" s="497"/>
      <c r="I389" s="189"/>
      <c r="J389" s="189"/>
      <c r="K389" s="476"/>
      <c r="L389" s="454"/>
      <c r="M389" s="459"/>
      <c r="N389" s="125">
        <f t="shared" si="206"/>
        <v>0</v>
      </c>
      <c r="O389" s="125">
        <f t="shared" si="206"/>
        <v>0</v>
      </c>
      <c r="P389" s="125">
        <f t="shared" si="211"/>
        <v>0</v>
      </c>
      <c r="Q389" s="125">
        <f>Q388</f>
        <v>0</v>
      </c>
      <c r="R389" s="454"/>
      <c r="S389" s="448"/>
      <c r="T389" s="124"/>
      <c r="U389" s="124"/>
      <c r="V389" s="124"/>
      <c r="W389" s="124"/>
      <c r="X389" s="123">
        <f t="shared" si="207"/>
        <v>0</v>
      </c>
      <c r="Y389" s="124"/>
      <c r="Z389" s="124">
        <f t="shared" si="208"/>
        <v>0</v>
      </c>
      <c r="AA389" s="124">
        <f t="shared" si="208"/>
        <v>0</v>
      </c>
      <c r="AB389" s="124"/>
      <c r="AC389" s="124"/>
      <c r="AD389" s="124"/>
      <c r="AE389" s="124"/>
      <c r="AF389" s="124"/>
      <c r="AG389" s="123">
        <f t="shared" si="209"/>
        <v>0</v>
      </c>
      <c r="AH389" s="124"/>
      <c r="AI389" s="123"/>
      <c r="AJ389" s="123">
        <f>AI389*1.12</f>
        <v>0</v>
      </c>
      <c r="AK389" s="123"/>
      <c r="AL389" s="126" t="str">
        <f t="shared" si="193"/>
        <v/>
      </c>
      <c r="AM389" s="127"/>
      <c r="AN389" s="127">
        <f>AF389</f>
        <v>0</v>
      </c>
      <c r="AO389" s="127"/>
      <c r="AP389" s="123">
        <f>AF389</f>
        <v>0</v>
      </c>
      <c r="AQ389" s="123">
        <f t="shared" si="210"/>
        <v>0</v>
      </c>
      <c r="AR389" s="123"/>
      <c r="AS389" s="123"/>
      <c r="AT389" s="123"/>
      <c r="AU389" s="123"/>
      <c r="AV389" s="123"/>
      <c r="AW389" s="123"/>
      <c r="AX389" s="123"/>
      <c r="AY389" s="123"/>
      <c r="AZ389" s="123"/>
      <c r="BA389" s="123"/>
      <c r="BB389" s="123"/>
      <c r="BC389" s="123"/>
      <c r="BD389" s="123"/>
      <c r="BE389" s="123"/>
      <c r="BF389" s="123"/>
      <c r="BG389" s="106"/>
      <c r="BH389" s="106"/>
      <c r="BI389" s="106"/>
      <c r="BJ389" s="106"/>
      <c r="BK389" s="106"/>
      <c r="BL389" s="106"/>
      <c r="BM389" s="106"/>
      <c r="BN389" s="106"/>
      <c r="BQ389" s="29"/>
      <c r="BR389" s="107"/>
      <c r="BS389" s="106"/>
    </row>
    <row r="390" spans="1:71" ht="14.5" hidden="1" outlineLevel="1" x14ac:dyDescent="0.35">
      <c r="A390" s="499"/>
      <c r="B390" s="470"/>
      <c r="C390" s="129" t="s">
        <v>74</v>
      </c>
      <c r="D390" s="129" t="s">
        <v>76</v>
      </c>
      <c r="E390" s="187"/>
      <c r="F390" s="187"/>
      <c r="G390" s="494"/>
      <c r="H390" s="497"/>
      <c r="I390" s="191"/>
      <c r="J390" s="191"/>
      <c r="K390" s="476"/>
      <c r="L390" s="454"/>
      <c r="M390" s="459"/>
      <c r="N390" s="132">
        <f t="shared" si="206"/>
        <v>0</v>
      </c>
      <c r="O390" s="132">
        <f t="shared" si="206"/>
        <v>0</v>
      </c>
      <c r="P390" s="132">
        <f t="shared" si="211"/>
        <v>0</v>
      </c>
      <c r="Q390" s="132">
        <f>Q389</f>
        <v>0</v>
      </c>
      <c r="R390" s="454"/>
      <c r="S390" s="448"/>
      <c r="T390" s="131"/>
      <c r="U390" s="131"/>
      <c r="V390" s="131"/>
      <c r="W390" s="131">
        <f>W389</f>
        <v>0</v>
      </c>
      <c r="X390" s="130">
        <f t="shared" si="207"/>
        <v>0</v>
      </c>
      <c r="Y390" s="131"/>
      <c r="Z390" s="131">
        <f t="shared" si="208"/>
        <v>0</v>
      </c>
      <c r="AA390" s="131">
        <f t="shared" si="208"/>
        <v>0</v>
      </c>
      <c r="AB390" s="131"/>
      <c r="AC390" s="131"/>
      <c r="AD390" s="131"/>
      <c r="AE390" s="131"/>
      <c r="AF390" s="131">
        <f>AF389</f>
        <v>0</v>
      </c>
      <c r="AG390" s="130">
        <f t="shared" si="209"/>
        <v>0</v>
      </c>
      <c r="AH390" s="131"/>
      <c r="AI390" s="130">
        <f>AI389</f>
        <v>0</v>
      </c>
      <c r="AJ390" s="130">
        <f>AJ389</f>
        <v>0</v>
      </c>
      <c r="AK390" s="130"/>
      <c r="AL390" s="133" t="str">
        <f t="shared" si="193"/>
        <v/>
      </c>
      <c r="AM390" s="134"/>
      <c r="AN390" s="134">
        <f>AF390</f>
        <v>0</v>
      </c>
      <c r="AO390" s="134"/>
      <c r="AP390" s="130">
        <f>AF390</f>
        <v>0</v>
      </c>
      <c r="AQ390" s="130">
        <f t="shared" si="210"/>
        <v>0</v>
      </c>
      <c r="AR390" s="130"/>
      <c r="AS390" s="130"/>
      <c r="AT390" s="130"/>
      <c r="AU390" s="130"/>
      <c r="AV390" s="130"/>
      <c r="AW390" s="130"/>
      <c r="AX390" s="130"/>
      <c r="AY390" s="130"/>
      <c r="AZ390" s="130"/>
      <c r="BA390" s="130"/>
      <c r="BB390" s="130"/>
      <c r="BC390" s="130"/>
      <c r="BD390" s="130"/>
      <c r="BE390" s="130"/>
      <c r="BF390" s="130"/>
      <c r="BG390" s="31"/>
      <c r="BH390" s="31"/>
      <c r="BI390" s="31"/>
      <c r="BJ390" s="31"/>
      <c r="BK390" s="31"/>
      <c r="BL390" s="31"/>
      <c r="BM390" s="31"/>
      <c r="BN390" s="31"/>
      <c r="BQ390" s="27"/>
      <c r="BR390" s="28"/>
      <c r="BS390" s="31"/>
    </row>
    <row r="391" spans="1:71" s="227" customFormat="1" hidden="1" outlineLevel="1" x14ac:dyDescent="0.35">
      <c r="A391" s="499"/>
      <c r="B391" s="470"/>
      <c r="C391" s="217" t="s">
        <v>72</v>
      </c>
      <c r="D391" s="217" t="s">
        <v>73</v>
      </c>
      <c r="E391" s="218"/>
      <c r="F391" s="218"/>
      <c r="G391" s="494"/>
      <c r="H391" s="497"/>
      <c r="I391" s="219"/>
      <c r="J391" s="219"/>
      <c r="K391" s="476"/>
      <c r="L391" s="454"/>
      <c r="M391" s="459" t="s">
        <v>113</v>
      </c>
      <c r="N391" s="220">
        <f t="shared" si="206"/>
        <v>0</v>
      </c>
      <c r="O391" s="220">
        <f t="shared" si="206"/>
        <v>0</v>
      </c>
      <c r="P391" s="220">
        <f t="shared" si="211"/>
        <v>0</v>
      </c>
      <c r="Q391" s="220"/>
      <c r="R391" s="454"/>
      <c r="S391" s="448"/>
      <c r="T391" s="221"/>
      <c r="U391" s="221"/>
      <c r="V391" s="221"/>
      <c r="W391" s="221"/>
      <c r="X391" s="222">
        <f t="shared" si="207"/>
        <v>0</v>
      </c>
      <c r="Y391" s="221"/>
      <c r="Z391" s="221">
        <f t="shared" si="208"/>
        <v>0</v>
      </c>
      <c r="AA391" s="221">
        <f t="shared" si="208"/>
        <v>0</v>
      </c>
      <c r="AB391" s="221">
        <f t="shared" si="208"/>
        <v>0</v>
      </c>
      <c r="AC391" s="221"/>
      <c r="AD391" s="221"/>
      <c r="AE391" s="221"/>
      <c r="AF391" s="221"/>
      <c r="AG391" s="222">
        <f t="shared" si="209"/>
        <v>0</v>
      </c>
      <c r="AH391" s="221"/>
      <c r="AI391" s="222"/>
      <c r="AJ391" s="222">
        <f>AI391*1.12</f>
        <v>0</v>
      </c>
      <c r="AK391" s="218">
        <f>AH391-AE391</f>
        <v>0</v>
      </c>
      <c r="AL391" s="223" t="str">
        <f t="shared" si="193"/>
        <v/>
      </c>
      <c r="AM391" s="224"/>
      <c r="AN391" s="224"/>
      <c r="AO391" s="224"/>
      <c r="AP391" s="222"/>
      <c r="AQ391" s="222">
        <f t="shared" si="210"/>
        <v>0</v>
      </c>
      <c r="AR391" s="222"/>
      <c r="AS391" s="222"/>
      <c r="AT391" s="222"/>
      <c r="AU391" s="222"/>
      <c r="AV391" s="222"/>
      <c r="AW391" s="222"/>
      <c r="AX391" s="222"/>
      <c r="AY391" s="222"/>
      <c r="AZ391" s="225"/>
      <c r="BA391" s="222"/>
      <c r="BB391" s="222"/>
      <c r="BC391" s="222"/>
      <c r="BD391" s="222"/>
      <c r="BE391" s="222"/>
      <c r="BF391" s="222"/>
      <c r="BG391" s="226"/>
      <c r="BH391" s="226"/>
      <c r="BI391" s="226"/>
      <c r="BJ391" s="226"/>
      <c r="BK391" s="226"/>
      <c r="BL391" s="226"/>
      <c r="BM391" s="226"/>
      <c r="BN391" s="226"/>
      <c r="BQ391" s="228"/>
      <c r="BR391" s="229"/>
      <c r="BS391" s="226"/>
    </row>
    <row r="392" spans="1:71" s="103" customFormat="1" hidden="1" outlineLevel="1" x14ac:dyDescent="0.35">
      <c r="A392" s="499"/>
      <c r="B392" s="470"/>
      <c r="C392" s="122" t="s">
        <v>74</v>
      </c>
      <c r="D392" s="122" t="s">
        <v>75</v>
      </c>
      <c r="E392" s="185"/>
      <c r="F392" s="185"/>
      <c r="G392" s="494"/>
      <c r="H392" s="497"/>
      <c r="I392" s="189"/>
      <c r="J392" s="189"/>
      <c r="K392" s="476"/>
      <c r="L392" s="454"/>
      <c r="M392" s="459"/>
      <c r="N392" s="125">
        <f t="shared" si="206"/>
        <v>0</v>
      </c>
      <c r="O392" s="125">
        <f t="shared" si="206"/>
        <v>0</v>
      </c>
      <c r="P392" s="125">
        <f t="shared" si="211"/>
        <v>0</v>
      </c>
      <c r="Q392" s="125">
        <f>Q391</f>
        <v>0</v>
      </c>
      <c r="R392" s="454"/>
      <c r="S392" s="448"/>
      <c r="T392" s="124"/>
      <c r="U392" s="124"/>
      <c r="V392" s="124"/>
      <c r="W392" s="124"/>
      <c r="X392" s="123">
        <f t="shared" si="207"/>
        <v>0</v>
      </c>
      <c r="Y392" s="124"/>
      <c r="Z392" s="124">
        <f t="shared" si="208"/>
        <v>0</v>
      </c>
      <c r="AA392" s="124">
        <f t="shared" si="208"/>
        <v>0</v>
      </c>
      <c r="AB392" s="124"/>
      <c r="AC392" s="124"/>
      <c r="AD392" s="124"/>
      <c r="AE392" s="124"/>
      <c r="AF392" s="124"/>
      <c r="AG392" s="123">
        <f t="shared" si="209"/>
        <v>0</v>
      </c>
      <c r="AH392" s="124"/>
      <c r="AI392" s="123"/>
      <c r="AJ392" s="123">
        <f>AI392*1.12</f>
        <v>0</v>
      </c>
      <c r="AK392" s="123"/>
      <c r="AL392" s="126" t="str">
        <f t="shared" si="193"/>
        <v/>
      </c>
      <c r="AM392" s="127"/>
      <c r="AN392" s="127">
        <f>AF392</f>
        <v>0</v>
      </c>
      <c r="AO392" s="127"/>
      <c r="AP392" s="123">
        <f>AF392</f>
        <v>0</v>
      </c>
      <c r="AQ392" s="123">
        <f t="shared" si="210"/>
        <v>0</v>
      </c>
      <c r="AR392" s="123"/>
      <c r="AS392" s="123"/>
      <c r="AT392" s="123"/>
      <c r="AU392" s="123"/>
      <c r="AV392" s="123"/>
      <c r="AW392" s="123"/>
      <c r="AX392" s="123"/>
      <c r="AY392" s="123"/>
      <c r="AZ392" s="123"/>
      <c r="BA392" s="123"/>
      <c r="BB392" s="123"/>
      <c r="BC392" s="123"/>
      <c r="BD392" s="123"/>
      <c r="BE392" s="123"/>
      <c r="BF392" s="123"/>
      <c r="BG392" s="106"/>
      <c r="BH392" s="106"/>
      <c r="BI392" s="106"/>
      <c r="BJ392" s="106"/>
      <c r="BK392" s="106"/>
      <c r="BL392" s="106"/>
      <c r="BM392" s="106"/>
      <c r="BN392" s="106"/>
      <c r="BQ392" s="29"/>
      <c r="BR392" s="107"/>
      <c r="BS392" s="106"/>
    </row>
    <row r="393" spans="1:71" ht="14.5" hidden="1" outlineLevel="1" x14ac:dyDescent="0.35">
      <c r="A393" s="499"/>
      <c r="B393" s="470"/>
      <c r="C393" s="129" t="s">
        <v>74</v>
      </c>
      <c r="D393" s="129" t="s">
        <v>76</v>
      </c>
      <c r="E393" s="187"/>
      <c r="F393" s="187"/>
      <c r="G393" s="494"/>
      <c r="H393" s="497"/>
      <c r="I393" s="191"/>
      <c r="J393" s="191"/>
      <c r="K393" s="476"/>
      <c r="L393" s="454"/>
      <c r="M393" s="459"/>
      <c r="N393" s="132">
        <f t="shared" si="206"/>
        <v>0</v>
      </c>
      <c r="O393" s="132">
        <f t="shared" si="206"/>
        <v>0</v>
      </c>
      <c r="P393" s="132">
        <f t="shared" si="211"/>
        <v>0</v>
      </c>
      <c r="Q393" s="132">
        <f>Q392</f>
        <v>0</v>
      </c>
      <c r="R393" s="454"/>
      <c r="S393" s="448"/>
      <c r="T393" s="131"/>
      <c r="U393" s="131"/>
      <c r="V393" s="131"/>
      <c r="W393" s="131">
        <f>W392</f>
        <v>0</v>
      </c>
      <c r="X393" s="130">
        <f t="shared" si="207"/>
        <v>0</v>
      </c>
      <c r="Y393" s="131"/>
      <c r="Z393" s="131">
        <f t="shared" si="208"/>
        <v>0</v>
      </c>
      <c r="AA393" s="131">
        <f t="shared" si="208"/>
        <v>0</v>
      </c>
      <c r="AB393" s="131"/>
      <c r="AC393" s="131"/>
      <c r="AD393" s="131"/>
      <c r="AE393" s="131"/>
      <c r="AF393" s="131">
        <f>AF392</f>
        <v>0</v>
      </c>
      <c r="AG393" s="130">
        <f t="shared" si="209"/>
        <v>0</v>
      </c>
      <c r="AH393" s="131"/>
      <c r="AI393" s="130">
        <f>AI392</f>
        <v>0</v>
      </c>
      <c r="AJ393" s="130">
        <f>AJ392</f>
        <v>0</v>
      </c>
      <c r="AK393" s="130"/>
      <c r="AL393" s="133" t="str">
        <f t="shared" si="193"/>
        <v/>
      </c>
      <c r="AM393" s="134"/>
      <c r="AN393" s="134">
        <f>AF393</f>
        <v>0</v>
      </c>
      <c r="AO393" s="134"/>
      <c r="AP393" s="130">
        <f>AF393</f>
        <v>0</v>
      </c>
      <c r="AQ393" s="130">
        <f t="shared" si="210"/>
        <v>0</v>
      </c>
      <c r="AR393" s="130"/>
      <c r="AS393" s="130"/>
      <c r="AT393" s="130"/>
      <c r="AU393" s="130"/>
      <c r="AV393" s="130"/>
      <c r="AW393" s="130"/>
      <c r="AX393" s="130"/>
      <c r="AY393" s="130"/>
      <c r="AZ393" s="130"/>
      <c r="BA393" s="130"/>
      <c r="BB393" s="130"/>
      <c r="BC393" s="130"/>
      <c r="BD393" s="130"/>
      <c r="BE393" s="130"/>
      <c r="BF393" s="130"/>
      <c r="BG393" s="31"/>
      <c r="BH393" s="31"/>
      <c r="BI393" s="31"/>
      <c r="BJ393" s="31"/>
      <c r="BK393" s="31"/>
      <c r="BL393" s="31"/>
      <c r="BM393" s="31"/>
      <c r="BN393" s="31"/>
      <c r="BQ393" s="27"/>
      <c r="BR393" s="28"/>
      <c r="BS393" s="31"/>
    </row>
    <row r="394" spans="1:71" s="227" customFormat="1" hidden="1" outlineLevel="1" x14ac:dyDescent="0.35">
      <c r="A394" s="499"/>
      <c r="B394" s="470"/>
      <c r="C394" s="217" t="s">
        <v>72</v>
      </c>
      <c r="D394" s="217" t="s">
        <v>73</v>
      </c>
      <c r="E394" s="218"/>
      <c r="F394" s="218"/>
      <c r="G394" s="494"/>
      <c r="H394" s="497"/>
      <c r="I394" s="219"/>
      <c r="J394" s="219"/>
      <c r="K394" s="476"/>
      <c r="L394" s="454"/>
      <c r="M394" s="459" t="s">
        <v>113</v>
      </c>
      <c r="N394" s="220">
        <f t="shared" si="206"/>
        <v>0</v>
      </c>
      <c r="O394" s="220">
        <f t="shared" si="206"/>
        <v>0</v>
      </c>
      <c r="P394" s="220">
        <f t="shared" si="211"/>
        <v>0</v>
      </c>
      <c r="Q394" s="220"/>
      <c r="R394" s="454"/>
      <c r="S394" s="448"/>
      <c r="T394" s="221"/>
      <c r="U394" s="221"/>
      <c r="V394" s="221"/>
      <c r="W394" s="221"/>
      <c r="X394" s="222">
        <f t="shared" si="207"/>
        <v>0</v>
      </c>
      <c r="Y394" s="221"/>
      <c r="Z394" s="221">
        <f t="shared" si="208"/>
        <v>0</v>
      </c>
      <c r="AA394" s="221">
        <f t="shared" si="208"/>
        <v>0</v>
      </c>
      <c r="AB394" s="221">
        <f t="shared" si="208"/>
        <v>0</v>
      </c>
      <c r="AC394" s="221"/>
      <c r="AD394" s="221"/>
      <c r="AE394" s="221"/>
      <c r="AF394" s="221"/>
      <c r="AG394" s="222">
        <f t="shared" si="209"/>
        <v>0</v>
      </c>
      <c r="AH394" s="221"/>
      <c r="AI394" s="222"/>
      <c r="AJ394" s="222">
        <f>AI394*1.12</f>
        <v>0</v>
      </c>
      <c r="AK394" s="218">
        <f>AH394-AE394</f>
        <v>0</v>
      </c>
      <c r="AL394" s="223" t="str">
        <f t="shared" si="193"/>
        <v/>
      </c>
      <c r="AM394" s="224"/>
      <c r="AN394" s="224"/>
      <c r="AO394" s="224"/>
      <c r="AP394" s="222"/>
      <c r="AQ394" s="222">
        <f t="shared" si="210"/>
        <v>0</v>
      </c>
      <c r="AR394" s="222"/>
      <c r="AS394" s="222"/>
      <c r="AT394" s="222"/>
      <c r="AU394" s="222"/>
      <c r="AV394" s="222"/>
      <c r="AW394" s="222"/>
      <c r="AX394" s="222"/>
      <c r="AY394" s="222"/>
      <c r="AZ394" s="225"/>
      <c r="BA394" s="222"/>
      <c r="BB394" s="222"/>
      <c r="BC394" s="222"/>
      <c r="BD394" s="222"/>
      <c r="BE394" s="222"/>
      <c r="BF394" s="222"/>
      <c r="BG394" s="226"/>
      <c r="BH394" s="226"/>
      <c r="BI394" s="226"/>
      <c r="BJ394" s="226"/>
      <c r="BK394" s="226"/>
      <c r="BL394" s="226"/>
      <c r="BM394" s="226"/>
      <c r="BN394" s="226"/>
      <c r="BQ394" s="228"/>
      <c r="BR394" s="229"/>
      <c r="BS394" s="226"/>
    </row>
    <row r="395" spans="1:71" s="103" customFormat="1" hidden="1" outlineLevel="1" x14ac:dyDescent="0.35">
      <c r="A395" s="499"/>
      <c r="B395" s="470"/>
      <c r="C395" s="122" t="s">
        <v>74</v>
      </c>
      <c r="D395" s="122" t="s">
        <v>75</v>
      </c>
      <c r="E395" s="185"/>
      <c r="F395" s="185"/>
      <c r="G395" s="494"/>
      <c r="H395" s="497"/>
      <c r="I395" s="189"/>
      <c r="J395" s="189"/>
      <c r="K395" s="476"/>
      <c r="L395" s="454"/>
      <c r="M395" s="459"/>
      <c r="N395" s="125">
        <f t="shared" si="206"/>
        <v>0</v>
      </c>
      <c r="O395" s="125">
        <f t="shared" si="206"/>
        <v>0</v>
      </c>
      <c r="P395" s="125">
        <f t="shared" si="211"/>
        <v>0</v>
      </c>
      <c r="Q395" s="125">
        <f>Q394</f>
        <v>0</v>
      </c>
      <c r="R395" s="454"/>
      <c r="S395" s="448"/>
      <c r="T395" s="124"/>
      <c r="U395" s="124"/>
      <c r="V395" s="124"/>
      <c r="W395" s="124"/>
      <c r="X395" s="123">
        <f t="shared" si="207"/>
        <v>0</v>
      </c>
      <c r="Y395" s="124"/>
      <c r="Z395" s="124">
        <f t="shared" si="208"/>
        <v>0</v>
      </c>
      <c r="AA395" s="124">
        <f t="shared" si="208"/>
        <v>0</v>
      </c>
      <c r="AB395" s="124"/>
      <c r="AC395" s="124"/>
      <c r="AD395" s="124"/>
      <c r="AE395" s="124"/>
      <c r="AF395" s="124"/>
      <c r="AG395" s="123">
        <f t="shared" si="209"/>
        <v>0</v>
      </c>
      <c r="AH395" s="124"/>
      <c r="AI395" s="123"/>
      <c r="AJ395" s="123">
        <f>AI395*1.12</f>
        <v>0</v>
      </c>
      <c r="AK395" s="123"/>
      <c r="AL395" s="126" t="str">
        <f t="shared" si="193"/>
        <v/>
      </c>
      <c r="AM395" s="127"/>
      <c r="AN395" s="127">
        <f>AF395</f>
        <v>0</v>
      </c>
      <c r="AO395" s="127"/>
      <c r="AP395" s="123">
        <f>AF395</f>
        <v>0</v>
      </c>
      <c r="AQ395" s="123">
        <f t="shared" si="210"/>
        <v>0</v>
      </c>
      <c r="AR395" s="123"/>
      <c r="AS395" s="123"/>
      <c r="AT395" s="123"/>
      <c r="AU395" s="123"/>
      <c r="AV395" s="123"/>
      <c r="AW395" s="123"/>
      <c r="AX395" s="123"/>
      <c r="AY395" s="123"/>
      <c r="AZ395" s="123"/>
      <c r="BA395" s="123"/>
      <c r="BB395" s="123"/>
      <c r="BC395" s="123"/>
      <c r="BD395" s="123"/>
      <c r="BE395" s="123"/>
      <c r="BF395" s="123"/>
      <c r="BG395" s="106"/>
      <c r="BH395" s="106"/>
      <c r="BI395" s="106"/>
      <c r="BJ395" s="106"/>
      <c r="BK395" s="106"/>
      <c r="BL395" s="106"/>
      <c r="BM395" s="106"/>
      <c r="BN395" s="106"/>
      <c r="BQ395" s="29"/>
      <c r="BR395" s="107"/>
      <c r="BS395" s="106"/>
    </row>
    <row r="396" spans="1:71" ht="14.5" hidden="1" outlineLevel="1" x14ac:dyDescent="0.35">
      <c r="A396" s="499"/>
      <c r="B396" s="470"/>
      <c r="C396" s="129" t="s">
        <v>74</v>
      </c>
      <c r="D396" s="129" t="s">
        <v>76</v>
      </c>
      <c r="E396" s="187"/>
      <c r="F396" s="187"/>
      <c r="G396" s="494"/>
      <c r="H396" s="497"/>
      <c r="I396" s="191"/>
      <c r="J396" s="191"/>
      <c r="K396" s="476"/>
      <c r="L396" s="454"/>
      <c r="M396" s="459"/>
      <c r="N396" s="132">
        <f t="shared" si="206"/>
        <v>0</v>
      </c>
      <c r="O396" s="132">
        <f t="shared" si="206"/>
        <v>0</v>
      </c>
      <c r="P396" s="132">
        <f t="shared" si="211"/>
        <v>0</v>
      </c>
      <c r="Q396" s="132">
        <f>Q395</f>
        <v>0</v>
      </c>
      <c r="R396" s="454"/>
      <c r="S396" s="448"/>
      <c r="T396" s="131"/>
      <c r="U396" s="131"/>
      <c r="V396" s="131"/>
      <c r="W396" s="131">
        <f>W395</f>
        <v>0</v>
      </c>
      <c r="X396" s="130">
        <f t="shared" si="207"/>
        <v>0</v>
      </c>
      <c r="Y396" s="131"/>
      <c r="Z396" s="131">
        <f t="shared" si="208"/>
        <v>0</v>
      </c>
      <c r="AA396" s="131">
        <f t="shared" si="208"/>
        <v>0</v>
      </c>
      <c r="AB396" s="131"/>
      <c r="AC396" s="131"/>
      <c r="AD396" s="131"/>
      <c r="AE396" s="131"/>
      <c r="AF396" s="131">
        <f>AF395</f>
        <v>0</v>
      </c>
      <c r="AG396" s="130">
        <f t="shared" si="209"/>
        <v>0</v>
      </c>
      <c r="AH396" s="131"/>
      <c r="AI396" s="130">
        <f>AI395</f>
        <v>0</v>
      </c>
      <c r="AJ396" s="130">
        <f>AJ395</f>
        <v>0</v>
      </c>
      <c r="AK396" s="130"/>
      <c r="AL396" s="133" t="str">
        <f t="shared" si="193"/>
        <v/>
      </c>
      <c r="AM396" s="134"/>
      <c r="AN396" s="134">
        <f>AF396</f>
        <v>0</v>
      </c>
      <c r="AO396" s="134"/>
      <c r="AP396" s="130">
        <f>AF396</f>
        <v>0</v>
      </c>
      <c r="AQ396" s="130">
        <f t="shared" si="210"/>
        <v>0</v>
      </c>
      <c r="AR396" s="130"/>
      <c r="AS396" s="130"/>
      <c r="AT396" s="130"/>
      <c r="AU396" s="130"/>
      <c r="AV396" s="130"/>
      <c r="AW396" s="130"/>
      <c r="AX396" s="130"/>
      <c r="AY396" s="130"/>
      <c r="AZ396" s="130"/>
      <c r="BA396" s="130"/>
      <c r="BB396" s="130"/>
      <c r="BC396" s="130"/>
      <c r="BD396" s="130"/>
      <c r="BE396" s="130"/>
      <c r="BF396" s="130"/>
      <c r="BG396" s="31"/>
      <c r="BH396" s="31"/>
      <c r="BI396" s="31"/>
      <c r="BJ396" s="31"/>
      <c r="BK396" s="31"/>
      <c r="BL396" s="31"/>
      <c r="BM396" s="31"/>
      <c r="BN396" s="31"/>
      <c r="BQ396" s="27"/>
      <c r="BR396" s="28"/>
      <c r="BS396" s="31"/>
    </row>
    <row r="397" spans="1:71" s="227" customFormat="1" hidden="1" outlineLevel="1" x14ac:dyDescent="0.35">
      <c r="A397" s="499"/>
      <c r="B397" s="470"/>
      <c r="C397" s="217" t="s">
        <v>72</v>
      </c>
      <c r="D397" s="217" t="s">
        <v>73</v>
      </c>
      <c r="E397" s="218"/>
      <c r="F397" s="218"/>
      <c r="G397" s="494"/>
      <c r="H397" s="497"/>
      <c r="I397" s="219"/>
      <c r="J397" s="219"/>
      <c r="K397" s="476"/>
      <c r="L397" s="454"/>
      <c r="M397" s="459" t="s">
        <v>113</v>
      </c>
      <c r="N397" s="220">
        <f t="shared" si="206"/>
        <v>0</v>
      </c>
      <c r="O397" s="220">
        <f t="shared" si="206"/>
        <v>0</v>
      </c>
      <c r="P397" s="220">
        <f t="shared" si="211"/>
        <v>0</v>
      </c>
      <c r="Q397" s="220"/>
      <c r="R397" s="454"/>
      <c r="S397" s="448"/>
      <c r="T397" s="221"/>
      <c r="U397" s="221"/>
      <c r="V397" s="221"/>
      <c r="W397" s="221"/>
      <c r="X397" s="222">
        <f t="shared" si="207"/>
        <v>0</v>
      </c>
      <c r="Y397" s="221"/>
      <c r="Z397" s="221">
        <f t="shared" si="208"/>
        <v>0</v>
      </c>
      <c r="AA397" s="221">
        <f t="shared" si="208"/>
        <v>0</v>
      </c>
      <c r="AB397" s="221">
        <f t="shared" si="208"/>
        <v>0</v>
      </c>
      <c r="AC397" s="221"/>
      <c r="AD397" s="221"/>
      <c r="AE397" s="221"/>
      <c r="AF397" s="221"/>
      <c r="AG397" s="222">
        <f t="shared" si="209"/>
        <v>0</v>
      </c>
      <c r="AH397" s="221"/>
      <c r="AI397" s="222"/>
      <c r="AJ397" s="222">
        <f>AI397*1.12</f>
        <v>0</v>
      </c>
      <c r="AK397" s="218">
        <f>AH397-AE397</f>
        <v>0</v>
      </c>
      <c r="AL397" s="223" t="str">
        <f t="shared" si="193"/>
        <v/>
      </c>
      <c r="AM397" s="224"/>
      <c r="AN397" s="224"/>
      <c r="AO397" s="224"/>
      <c r="AP397" s="222"/>
      <c r="AQ397" s="222">
        <f t="shared" si="210"/>
        <v>0</v>
      </c>
      <c r="AR397" s="222"/>
      <c r="AS397" s="222"/>
      <c r="AT397" s="222"/>
      <c r="AU397" s="222"/>
      <c r="AV397" s="222"/>
      <c r="AW397" s="222"/>
      <c r="AX397" s="222"/>
      <c r="AY397" s="222"/>
      <c r="AZ397" s="225"/>
      <c r="BA397" s="222"/>
      <c r="BB397" s="222"/>
      <c r="BC397" s="222"/>
      <c r="BD397" s="222"/>
      <c r="BE397" s="222"/>
      <c r="BF397" s="222"/>
      <c r="BG397" s="226"/>
      <c r="BH397" s="226"/>
      <c r="BI397" s="226"/>
      <c r="BJ397" s="226"/>
      <c r="BK397" s="226"/>
      <c r="BL397" s="226"/>
      <c r="BM397" s="226"/>
      <c r="BN397" s="226"/>
      <c r="BQ397" s="228"/>
      <c r="BR397" s="229"/>
      <c r="BS397" s="226"/>
    </row>
    <row r="398" spans="1:71" s="103" customFormat="1" hidden="1" outlineLevel="1" x14ac:dyDescent="0.35">
      <c r="A398" s="499"/>
      <c r="B398" s="470"/>
      <c r="C398" s="122" t="s">
        <v>74</v>
      </c>
      <c r="D398" s="122" t="s">
        <v>75</v>
      </c>
      <c r="E398" s="185"/>
      <c r="F398" s="185"/>
      <c r="G398" s="494"/>
      <c r="H398" s="497"/>
      <c r="I398" s="189"/>
      <c r="J398" s="189"/>
      <c r="K398" s="476"/>
      <c r="L398" s="454"/>
      <c r="M398" s="459"/>
      <c r="N398" s="125">
        <f t="shared" si="206"/>
        <v>0</v>
      </c>
      <c r="O398" s="125">
        <f t="shared" si="206"/>
        <v>0</v>
      </c>
      <c r="P398" s="125">
        <f t="shared" si="211"/>
        <v>0</v>
      </c>
      <c r="Q398" s="125">
        <f>Q397</f>
        <v>0</v>
      </c>
      <c r="R398" s="454"/>
      <c r="S398" s="448"/>
      <c r="T398" s="124"/>
      <c r="U398" s="124"/>
      <c r="V398" s="124"/>
      <c r="W398" s="124"/>
      <c r="X398" s="123">
        <f t="shared" si="207"/>
        <v>0</v>
      </c>
      <c r="Y398" s="124"/>
      <c r="Z398" s="124">
        <f t="shared" si="208"/>
        <v>0</v>
      </c>
      <c r="AA398" s="124">
        <f t="shared" si="208"/>
        <v>0</v>
      </c>
      <c r="AB398" s="124"/>
      <c r="AC398" s="124"/>
      <c r="AD398" s="124"/>
      <c r="AE398" s="124"/>
      <c r="AF398" s="124"/>
      <c r="AG398" s="123">
        <f t="shared" si="209"/>
        <v>0</v>
      </c>
      <c r="AH398" s="124"/>
      <c r="AI398" s="123"/>
      <c r="AJ398" s="123">
        <f>AI398*1.12</f>
        <v>0</v>
      </c>
      <c r="AK398" s="123"/>
      <c r="AL398" s="126" t="str">
        <f t="shared" si="193"/>
        <v/>
      </c>
      <c r="AM398" s="127"/>
      <c r="AN398" s="127">
        <f>AF398</f>
        <v>0</v>
      </c>
      <c r="AO398" s="127"/>
      <c r="AP398" s="123">
        <f>AF398</f>
        <v>0</v>
      </c>
      <c r="AQ398" s="123">
        <f t="shared" si="210"/>
        <v>0</v>
      </c>
      <c r="AR398" s="123"/>
      <c r="AS398" s="123"/>
      <c r="AT398" s="123"/>
      <c r="AU398" s="123"/>
      <c r="AV398" s="123"/>
      <c r="AW398" s="123"/>
      <c r="AX398" s="123"/>
      <c r="AY398" s="123"/>
      <c r="AZ398" s="123"/>
      <c r="BA398" s="123"/>
      <c r="BB398" s="123"/>
      <c r="BC398" s="123"/>
      <c r="BD398" s="123"/>
      <c r="BE398" s="123"/>
      <c r="BF398" s="123"/>
      <c r="BG398" s="106"/>
      <c r="BH398" s="106"/>
      <c r="BI398" s="106"/>
      <c r="BJ398" s="106"/>
      <c r="BK398" s="106"/>
      <c r="BL398" s="106"/>
      <c r="BM398" s="106"/>
      <c r="BN398" s="106"/>
      <c r="BQ398" s="29"/>
      <c r="BR398" s="107"/>
      <c r="BS398" s="106"/>
    </row>
    <row r="399" spans="1:71" ht="14.5" hidden="1" outlineLevel="1" x14ac:dyDescent="0.35">
      <c r="A399" s="439"/>
      <c r="B399" s="437"/>
      <c r="C399" s="129" t="s">
        <v>74</v>
      </c>
      <c r="D399" s="129" t="s">
        <v>76</v>
      </c>
      <c r="E399" s="187"/>
      <c r="F399" s="187"/>
      <c r="G399" s="495"/>
      <c r="H399" s="498"/>
      <c r="I399" s="191"/>
      <c r="J399" s="191"/>
      <c r="K399" s="476"/>
      <c r="L399" s="454"/>
      <c r="M399" s="459"/>
      <c r="N399" s="132">
        <f t="shared" si="206"/>
        <v>0</v>
      </c>
      <c r="O399" s="132">
        <f t="shared" si="206"/>
        <v>0</v>
      </c>
      <c r="P399" s="132">
        <f t="shared" si="211"/>
        <v>0</v>
      </c>
      <c r="Q399" s="132">
        <f>Q398</f>
        <v>0</v>
      </c>
      <c r="R399" s="454"/>
      <c r="S399" s="448"/>
      <c r="T399" s="131"/>
      <c r="U399" s="131"/>
      <c r="V399" s="131"/>
      <c r="W399" s="131">
        <f>W398</f>
        <v>0</v>
      </c>
      <c r="X399" s="130">
        <f t="shared" si="207"/>
        <v>0</v>
      </c>
      <c r="Y399" s="131"/>
      <c r="Z399" s="131">
        <f t="shared" si="208"/>
        <v>0</v>
      </c>
      <c r="AA399" s="131">
        <f t="shared" si="208"/>
        <v>0</v>
      </c>
      <c r="AB399" s="131"/>
      <c r="AC399" s="131"/>
      <c r="AD399" s="131"/>
      <c r="AE399" s="131"/>
      <c r="AF399" s="131">
        <f>AF398</f>
        <v>0</v>
      </c>
      <c r="AG399" s="130">
        <f t="shared" si="209"/>
        <v>0</v>
      </c>
      <c r="AH399" s="131"/>
      <c r="AI399" s="130">
        <f>AI398</f>
        <v>0</v>
      </c>
      <c r="AJ399" s="130">
        <f>AJ398</f>
        <v>0</v>
      </c>
      <c r="AK399" s="130"/>
      <c r="AL399" s="133" t="str">
        <f t="shared" si="193"/>
        <v/>
      </c>
      <c r="AM399" s="134"/>
      <c r="AN399" s="134">
        <f>AF399</f>
        <v>0</v>
      </c>
      <c r="AO399" s="134"/>
      <c r="AP399" s="130">
        <f>AF399</f>
        <v>0</v>
      </c>
      <c r="AQ399" s="130">
        <f t="shared" si="210"/>
        <v>0</v>
      </c>
      <c r="AR399" s="130"/>
      <c r="AS399" s="130"/>
      <c r="AT399" s="130"/>
      <c r="AU399" s="130"/>
      <c r="AV399" s="130"/>
      <c r="AW399" s="130"/>
      <c r="AX399" s="130"/>
      <c r="AY399" s="130"/>
      <c r="AZ399" s="130"/>
      <c r="BA399" s="130"/>
      <c r="BB399" s="130"/>
      <c r="BC399" s="130"/>
      <c r="BD399" s="130"/>
      <c r="BE399" s="130"/>
      <c r="BF399" s="130"/>
      <c r="BG399" s="31"/>
      <c r="BH399" s="31"/>
      <c r="BI399" s="31"/>
      <c r="BJ399" s="31"/>
      <c r="BK399" s="31"/>
      <c r="BL399" s="31"/>
      <c r="BM399" s="31"/>
      <c r="BN399" s="31"/>
      <c r="BQ399" s="27"/>
      <c r="BR399" s="28"/>
      <c r="BS399" s="31"/>
    </row>
    <row r="400" spans="1:71" s="212" customFormat="1" ht="17.25" customHeight="1" collapsed="1" x14ac:dyDescent="0.35">
      <c r="A400" s="213"/>
      <c r="B400" s="206"/>
      <c r="C400" s="202"/>
      <c r="D400" s="202"/>
      <c r="E400" s="251">
        <f>E402+E405+E408+E411+E414+E417+E420+E423+E426+E429+E432+E435</f>
        <v>22686570</v>
      </c>
      <c r="F400" s="251">
        <f>F402+F405+F408+F411+F414+F417+F420+F423+F426+F429+F432+F435</f>
        <v>25408958.400000002</v>
      </c>
      <c r="G400" s="252"/>
      <c r="H400" s="251">
        <f>H402+H405+H408+H411+H414+H417+H420+H423+H426+H429+H432+H435</f>
        <v>854</v>
      </c>
      <c r="I400" s="251">
        <f>I402+I405+I408+I411+I414+I417+I420+I423+I426+I429+I432+I435</f>
        <v>7597368</v>
      </c>
      <c r="J400" s="251">
        <f>J402+J405+J408+J411+J414+J417+J420+J423+J426+J429+J432+J435</f>
        <v>8509052.1600000001</v>
      </c>
      <c r="K400" s="486" t="s">
        <v>174</v>
      </c>
      <c r="L400" s="487"/>
      <c r="M400" s="490"/>
      <c r="N400" s="253">
        <f t="shared" ref="N400:Q401" si="212">N402+N405+N408+N411+N414+N417+N420+N423+N426+N429+N432+N435</f>
        <v>163121070304.6875</v>
      </c>
      <c r="O400" s="253">
        <f t="shared" si="212"/>
        <v>182695598741.25003</v>
      </c>
      <c r="P400" s="253">
        <f t="shared" si="212"/>
        <v>163121070304.6875</v>
      </c>
      <c r="Q400" s="253">
        <f t="shared" si="212"/>
        <v>182695598741.25003</v>
      </c>
      <c r="R400" s="206"/>
      <c r="S400" s="492">
        <f t="shared" ref="S400:AK400" si="213">S402+S405+S408+S411+S414+S417+S420+S423+S426+S429+S432+S435</f>
        <v>20296</v>
      </c>
      <c r="T400" s="251">
        <f t="shared" si="213"/>
        <v>0</v>
      </c>
      <c r="U400" s="251">
        <f t="shared" si="213"/>
        <v>0</v>
      </c>
      <c r="V400" s="251">
        <f t="shared" si="213"/>
        <v>0</v>
      </c>
      <c r="W400" s="251">
        <f t="shared" si="213"/>
        <v>6773855</v>
      </c>
      <c r="X400" s="251">
        <f t="shared" si="213"/>
        <v>7586717.6000000015</v>
      </c>
      <c r="Y400" s="251">
        <f t="shared" si="213"/>
        <v>2100</v>
      </c>
      <c r="Z400" s="251">
        <f t="shared" si="213"/>
        <v>6773855</v>
      </c>
      <c r="AA400" s="251">
        <f t="shared" si="213"/>
        <v>7586717.6000000015</v>
      </c>
      <c r="AB400" s="251">
        <f t="shared" si="213"/>
        <v>2100</v>
      </c>
      <c r="AC400" s="251">
        <f t="shared" si="213"/>
        <v>7563854</v>
      </c>
      <c r="AD400" s="251">
        <f t="shared" si="213"/>
        <v>8471516.4800000004</v>
      </c>
      <c r="AE400" s="251">
        <f t="shared" si="213"/>
        <v>854</v>
      </c>
      <c r="AF400" s="251">
        <f t="shared" si="213"/>
        <v>7572650.4293624973</v>
      </c>
      <c r="AG400" s="251">
        <f t="shared" si="213"/>
        <v>8481368.4808859974</v>
      </c>
      <c r="AH400" s="251">
        <f t="shared" si="213"/>
        <v>874</v>
      </c>
      <c r="AI400" s="251">
        <f t="shared" si="213"/>
        <v>8796.4293624971469</v>
      </c>
      <c r="AJ400" s="251">
        <f t="shared" si="213"/>
        <v>9852.0008859968057</v>
      </c>
      <c r="AK400" s="251">
        <f t="shared" si="213"/>
        <v>20</v>
      </c>
      <c r="AL400" s="208">
        <f>IF(AC400=0,"",AF400/AC400)</f>
        <v>1.0011629559960435</v>
      </c>
      <c r="AM400" s="251">
        <f>AM402+AM405+AM408+AM411+AM414+AM417+AM420+AM423+AM426+AM429+AM432+AM435</f>
        <v>0</v>
      </c>
      <c r="AN400" s="251">
        <f t="shared" ref="AN400:BF401" si="214">AN402+AN405+AN408+AN411+AN414+AN417+AN420+AN423+AN426+AN429+AN432+AN435</f>
        <v>0</v>
      </c>
      <c r="AO400" s="251">
        <f t="shared" si="214"/>
        <v>0</v>
      </c>
      <c r="AP400" s="251">
        <f t="shared" si="214"/>
        <v>7597368</v>
      </c>
      <c r="AQ400" s="251">
        <f t="shared" si="214"/>
        <v>8509052.1600000001</v>
      </c>
      <c r="AR400" s="251">
        <f t="shared" si="214"/>
        <v>854</v>
      </c>
      <c r="AS400" s="251">
        <f t="shared" si="214"/>
        <v>0</v>
      </c>
      <c r="AT400" s="251">
        <f t="shared" si="214"/>
        <v>0</v>
      </c>
      <c r="AU400" s="251">
        <f t="shared" si="214"/>
        <v>0</v>
      </c>
      <c r="AV400" s="251">
        <f t="shared" si="214"/>
        <v>0</v>
      </c>
      <c r="AW400" s="251">
        <f t="shared" si="214"/>
        <v>0</v>
      </c>
      <c r="AX400" s="251">
        <f t="shared" si="214"/>
        <v>0</v>
      </c>
      <c r="AY400" s="251">
        <f t="shared" si="214"/>
        <v>0</v>
      </c>
      <c r="AZ400" s="251">
        <f t="shared" si="214"/>
        <v>0</v>
      </c>
      <c r="BA400" s="251">
        <f t="shared" si="214"/>
        <v>0</v>
      </c>
      <c r="BB400" s="251">
        <f t="shared" si="214"/>
        <v>0</v>
      </c>
      <c r="BC400" s="251">
        <f t="shared" si="214"/>
        <v>0</v>
      </c>
      <c r="BD400" s="251">
        <f t="shared" si="214"/>
        <v>0</v>
      </c>
      <c r="BE400" s="251">
        <f t="shared" si="214"/>
        <v>0</v>
      </c>
      <c r="BF400" s="251">
        <f t="shared" si="214"/>
        <v>177139.43793911007</v>
      </c>
      <c r="BG400" s="210" t="s">
        <v>84</v>
      </c>
      <c r="BH400" s="210"/>
      <c r="BI400" s="254">
        <f t="shared" ref="BI400:BK401" si="215">BI402+BI405+BI408+BI411+BI414+BI417+BI420+BI423+BI426+BI429+BI432+BI435</f>
        <v>0</v>
      </c>
      <c r="BJ400" s="254">
        <f t="shared" si="215"/>
        <v>0</v>
      </c>
      <c r="BK400" s="254">
        <f t="shared" si="215"/>
        <v>0</v>
      </c>
      <c r="BL400" s="210"/>
      <c r="BM400" s="210"/>
      <c r="BN400" s="210"/>
      <c r="BQ400" s="255">
        <f>SUM(AS400:BF400)</f>
        <v>177139.43793911007</v>
      </c>
      <c r="BR400" s="256">
        <f>AI400-BQ400</f>
        <v>-168343.00857661292</v>
      </c>
      <c r="BS400" s="210"/>
    </row>
    <row r="401" spans="1:71" s="212" customFormat="1" ht="17.25" customHeight="1" x14ac:dyDescent="0.35">
      <c r="A401" s="213"/>
      <c r="B401" s="206"/>
      <c r="C401" s="202"/>
      <c r="D401" s="202"/>
      <c r="E401" s="251">
        <f>E403+E406+E409+E412+E415+E418+E421+E424+E427+E430+E433+E436</f>
        <v>22686570</v>
      </c>
      <c r="F401" s="251">
        <f>F403+F406+F409+F412+F415+F418+F421+F424+F427+F430+F433+F436</f>
        <v>25408958.400000002</v>
      </c>
      <c r="G401" s="252"/>
      <c r="H401" s="251"/>
      <c r="I401" s="251">
        <f>I403+I406+I409+I412+I415+I418+I421+I424+I427+I430+I433+I436</f>
        <v>7355763.8731428571</v>
      </c>
      <c r="J401" s="251">
        <f>J403+J406+J409+J412+J415+J418+J421+J424+J427+J430+J433+J436</f>
        <v>8238455.53792</v>
      </c>
      <c r="K401" s="488"/>
      <c r="L401" s="489"/>
      <c r="M401" s="491"/>
      <c r="N401" s="253">
        <f t="shared" si="212"/>
        <v>163121070304.6875</v>
      </c>
      <c r="O401" s="253">
        <f t="shared" si="212"/>
        <v>182695598741.25003</v>
      </c>
      <c r="P401" s="253">
        <f t="shared" si="212"/>
        <v>163121070304.6875</v>
      </c>
      <c r="Q401" s="253">
        <f t="shared" si="212"/>
        <v>182695598741.25003</v>
      </c>
      <c r="R401" s="257"/>
      <c r="S401" s="492"/>
      <c r="T401" s="251">
        <f>T403+T406+T409+T412+T415+T418+T421+T424+T427+T430+T433+T436</f>
        <v>0</v>
      </c>
      <c r="U401" s="251">
        <f>U403+U406+U409+U412+U415+U418+U421+U424+U427+U430+U433+U436</f>
        <v>0</v>
      </c>
      <c r="V401" s="251"/>
      <c r="W401" s="251">
        <f>W403+W406+W409+W412+W415+W418+W421+W424+W427+W430+W433+W436</f>
        <v>4285383.5144107137</v>
      </c>
      <c r="X401" s="251">
        <f>X403+X406+X409+X412+X415+X418+X421+X424+X427+X430+X433+X436</f>
        <v>4799629.5361399986</v>
      </c>
      <c r="Y401" s="251"/>
      <c r="Z401" s="251">
        <f>Z403+Z406+Z409+Z412+Z415+Z418+Z421+Z424+Z427+Z430+Z433+Z436</f>
        <v>4285383.5144107137</v>
      </c>
      <c r="AA401" s="251">
        <f>AA403+AA406+AA409+AA412+AA415+AA418+AA421+AA424+AA427+AA430+AA433+AA436</f>
        <v>4799629.5361399986</v>
      </c>
      <c r="AB401" s="251"/>
      <c r="AC401" s="251">
        <f>AC403+AC406+AC409+AC412+AC415+AC418+AC421+AC424+AC427+AC430+AC433+AC436</f>
        <v>7367889.3729999997</v>
      </c>
      <c r="AD401" s="251">
        <f>AD403+AD406+AD409+AD412+AD415+AD418+AD421+AD424+AD427+AD430+AD433+AD436</f>
        <v>8252036.0977600012</v>
      </c>
      <c r="AE401" s="251"/>
      <c r="AF401" s="251">
        <f>AF403+AF406+AF409+AF412+AF415+AF418+AF421+AF424+AF427+AF430+AF433+AF436</f>
        <v>7005505.0350357126</v>
      </c>
      <c r="AG401" s="251">
        <f>AG403+AG406+AG409+AG412+AG415+AG418+AG421+AG424+AG427+AG430+AG433+AG436</f>
        <v>7846165.6392399985</v>
      </c>
      <c r="AH401" s="251"/>
      <c r="AI401" s="251">
        <f>AI403+AI406+AI409+AI412+AI415+AI418+AI421+AI424+AI427+AI430+AI433+AI436</f>
        <v>-362384.33796428726</v>
      </c>
      <c r="AJ401" s="251">
        <f>AJ403+AJ406+AJ409+AJ412+AJ415+AJ418+AJ421+AJ424+AJ427+AJ430+AJ433+AJ436</f>
        <v>-405870.45852000173</v>
      </c>
      <c r="AK401" s="251"/>
      <c r="AL401" s="208">
        <f>IF(AC401=0,"",AF401/AC401)</f>
        <v>0.95081571945253918</v>
      </c>
      <c r="AM401" s="251">
        <f>AM403+AM406+AM409+AM412+AM415+AM418+AM421+AM424+AM427+AM430+AM433+AM436</f>
        <v>396946.8731428571</v>
      </c>
      <c r="AN401" s="251">
        <f t="shared" si="214"/>
        <v>6608558.1618928555</v>
      </c>
      <c r="AO401" s="251">
        <f t="shared" si="214"/>
        <v>0</v>
      </c>
      <c r="AP401" s="251">
        <f t="shared" si="214"/>
        <v>7994314.8731428571</v>
      </c>
      <c r="AQ401" s="251">
        <f t="shared" si="214"/>
        <v>8953632.6579199992</v>
      </c>
      <c r="AR401" s="251">
        <f t="shared" si="214"/>
        <v>0</v>
      </c>
      <c r="AS401" s="251">
        <f t="shared" si="214"/>
        <v>0</v>
      </c>
      <c r="AT401" s="251">
        <f t="shared" si="214"/>
        <v>0</v>
      </c>
      <c r="AU401" s="251">
        <f t="shared" si="214"/>
        <v>0</v>
      </c>
      <c r="AV401" s="251">
        <f t="shared" si="214"/>
        <v>0</v>
      </c>
      <c r="AW401" s="251">
        <f t="shared" si="214"/>
        <v>0</v>
      </c>
      <c r="AX401" s="251">
        <f t="shared" si="214"/>
        <v>0</v>
      </c>
      <c r="AY401" s="251">
        <f t="shared" si="214"/>
        <v>0</v>
      </c>
      <c r="AZ401" s="251">
        <f t="shared" si="214"/>
        <v>0</v>
      </c>
      <c r="BA401" s="251">
        <f t="shared" si="214"/>
        <v>0</v>
      </c>
      <c r="BB401" s="251">
        <f t="shared" si="214"/>
        <v>0</v>
      </c>
      <c r="BC401" s="251">
        <f t="shared" si="214"/>
        <v>0</v>
      </c>
      <c r="BD401" s="251">
        <f t="shared" si="214"/>
        <v>0</v>
      </c>
      <c r="BE401" s="251">
        <f t="shared" si="214"/>
        <v>0</v>
      </c>
      <c r="BF401" s="251">
        <f t="shared" si="214"/>
        <v>0</v>
      </c>
      <c r="BG401" s="210"/>
      <c r="BH401" s="210"/>
      <c r="BI401" s="254">
        <f t="shared" si="215"/>
        <v>24210.408080000001</v>
      </c>
      <c r="BJ401" s="254">
        <f t="shared" si="215"/>
        <v>342813.59399999998</v>
      </c>
      <c r="BK401" s="254">
        <f t="shared" si="215"/>
        <v>76.948499999999996</v>
      </c>
      <c r="BL401" s="210"/>
      <c r="BM401" s="210"/>
      <c r="BN401" s="210"/>
      <c r="BQ401" s="213"/>
      <c r="BR401" s="214"/>
      <c r="BS401" s="210"/>
    </row>
    <row r="402" spans="1:71" s="227" customFormat="1" x14ac:dyDescent="0.35">
      <c r="A402" s="453"/>
      <c r="B402" s="454" t="s">
        <v>175</v>
      </c>
      <c r="C402" s="217" t="s">
        <v>72</v>
      </c>
      <c r="D402" s="217" t="s">
        <v>73</v>
      </c>
      <c r="E402" s="218">
        <v>15089202</v>
      </c>
      <c r="F402" s="218">
        <f t="shared" ref="F402:F465" si="216">E402*1.12</f>
        <v>16899906.240000002</v>
      </c>
      <c r="G402" s="474">
        <v>1919</v>
      </c>
      <c r="H402" s="475"/>
      <c r="I402" s="219"/>
      <c r="J402" s="219">
        <f t="shared" ref="J402:J465" si="217">I402*1.12</f>
        <v>0</v>
      </c>
      <c r="K402" s="463" t="s">
        <v>158</v>
      </c>
      <c r="L402" s="480" t="s">
        <v>176</v>
      </c>
      <c r="M402" s="467" t="s">
        <v>113</v>
      </c>
      <c r="N402" s="220">
        <f t="shared" ref="N402:O432" si="218">P402</f>
        <v>440688695.16071421</v>
      </c>
      <c r="O402" s="220">
        <f t="shared" si="218"/>
        <v>493571338.57999998</v>
      </c>
      <c r="P402" s="220">
        <f t="shared" ref="P402:P432" si="219">Q402/1.12</f>
        <v>440688695.16071421</v>
      </c>
      <c r="Q402" s="259">
        <v>493571338.57999998</v>
      </c>
      <c r="R402" s="436" t="s">
        <v>141</v>
      </c>
      <c r="S402" s="471">
        <v>164</v>
      </c>
      <c r="T402" s="221"/>
      <c r="U402" s="221"/>
      <c r="V402" s="221"/>
      <c r="W402" s="221">
        <f>(283473+104576)+12278</f>
        <v>400327</v>
      </c>
      <c r="X402" s="222">
        <f>W402*1.12</f>
        <v>448366.24000000005</v>
      </c>
      <c r="Y402" s="221">
        <f>30+20+14+30+25+40+5</f>
        <v>164</v>
      </c>
      <c r="Z402" s="221">
        <f>T402+W402</f>
        <v>400327</v>
      </c>
      <c r="AA402" s="221">
        <f>U402+X402</f>
        <v>448366.24000000005</v>
      </c>
      <c r="AB402" s="221">
        <f>V402+Y402</f>
        <v>164</v>
      </c>
      <c r="AC402" s="221"/>
      <c r="AD402" s="221">
        <f>AC402*1.12</f>
        <v>0</v>
      </c>
      <c r="AE402" s="221"/>
      <c r="AF402" s="221"/>
      <c r="AG402" s="222">
        <f>AF402*1.12</f>
        <v>0</v>
      </c>
      <c r="AH402" s="221"/>
      <c r="AI402" s="222"/>
      <c r="AJ402" s="222">
        <f>AI402*1.12</f>
        <v>0</v>
      </c>
      <c r="AK402" s="218"/>
      <c r="AL402" s="223" t="str">
        <f>IF($AC$402=0,"",AF402/($AC$402/$AE$402*AH402))</f>
        <v/>
      </c>
      <c r="AM402" s="224"/>
      <c r="AN402" s="224"/>
      <c r="AO402" s="224"/>
      <c r="AP402" s="222"/>
      <c r="AQ402" s="222">
        <f t="shared" ref="AQ402:AQ465" si="220">AP402*1.12</f>
        <v>0</v>
      </c>
      <c r="AR402" s="222"/>
      <c r="AS402" s="222"/>
      <c r="AT402" s="222">
        <f>AF402-($AC$435/$AE$435*AH402)</f>
        <v>0</v>
      </c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>
        <f>$AC$435/$AE$435*AK402</f>
        <v>0</v>
      </c>
      <c r="BG402" s="226"/>
      <c r="BH402" s="226"/>
      <c r="BI402" s="226"/>
      <c r="BJ402" s="226"/>
      <c r="BK402" s="226"/>
      <c r="BL402" s="226"/>
      <c r="BM402" s="226"/>
      <c r="BN402" s="226"/>
      <c r="BQ402" s="460">
        <f>SUM(AS402:BF434)</f>
        <v>0</v>
      </c>
      <c r="BR402" s="462">
        <f>BQ402-(AI402+AI405+AI408+AI411+AI414+AI417+AI420+AI423+AI426+AI429+AI432)</f>
        <v>0</v>
      </c>
      <c r="BS402" s="226"/>
    </row>
    <row r="403" spans="1:71" s="103" customFormat="1" x14ac:dyDescent="0.35">
      <c r="A403" s="453"/>
      <c r="B403" s="454"/>
      <c r="C403" s="122" t="s">
        <v>74</v>
      </c>
      <c r="D403" s="122" t="s">
        <v>75</v>
      </c>
      <c r="E403" s="185">
        <f>E402</f>
        <v>15089202</v>
      </c>
      <c r="F403" s="185">
        <f t="shared" si="216"/>
        <v>16899906.240000002</v>
      </c>
      <c r="G403" s="474"/>
      <c r="H403" s="475"/>
      <c r="I403" s="189">
        <v>742892.8731428571</v>
      </c>
      <c r="J403" s="189">
        <f t="shared" si="217"/>
        <v>832040.01792000001</v>
      </c>
      <c r="K403" s="463"/>
      <c r="L403" s="481"/>
      <c r="M403" s="468"/>
      <c r="N403" s="132">
        <f t="shared" si="218"/>
        <v>440688695.16071421</v>
      </c>
      <c r="O403" s="132">
        <f t="shared" si="218"/>
        <v>493571338.57999998</v>
      </c>
      <c r="P403" s="125">
        <f t="shared" si="219"/>
        <v>440688695.16071421</v>
      </c>
      <c r="Q403" s="139">
        <f>Q402</f>
        <v>493571338.57999998</v>
      </c>
      <c r="R403" s="470"/>
      <c r="S403" s="472"/>
      <c r="T403" s="124"/>
      <c r="U403" s="124"/>
      <c r="V403" s="124"/>
      <c r="W403" s="124">
        <f>W404</f>
        <v>332807.90733928571</v>
      </c>
      <c r="X403" s="123">
        <f>W403*1.12</f>
        <v>372744.85622000002</v>
      </c>
      <c r="Y403" s="124"/>
      <c r="Z403" s="124">
        <f>W403+T403</f>
        <v>332807.90733928571</v>
      </c>
      <c r="AA403" s="124">
        <f>X403+U403</f>
        <v>372744.85622000002</v>
      </c>
      <c r="AB403" s="124"/>
      <c r="AC403" s="124">
        <f>742892.873</f>
        <v>742892.87300000002</v>
      </c>
      <c r="AD403" s="124">
        <f>AC403*1.12</f>
        <v>832040.01776000008</v>
      </c>
      <c r="AE403" s="124"/>
      <c r="AF403" s="124">
        <f>AF404</f>
        <v>0</v>
      </c>
      <c r="AG403" s="123">
        <f>AF403*1.12</f>
        <v>0</v>
      </c>
      <c r="AH403" s="124"/>
      <c r="AI403" s="123">
        <f>AF403+AF406+AF409+AF412+AF415+AF418+AF421+AF424+AF427+AF430+AF433-AC403</f>
        <v>-345945.99985714292</v>
      </c>
      <c r="AJ403" s="123">
        <f>AI403*1.12</f>
        <v>-387459.51984000008</v>
      </c>
      <c r="AK403" s="123"/>
      <c r="AL403" s="126" t="e">
        <f>IF($AC$436=0,"",AF403/($AC$436/$AE$435*AH402))</f>
        <v>#DIV/0!</v>
      </c>
      <c r="AM403" s="127">
        <f>AF403</f>
        <v>0</v>
      </c>
      <c r="AN403" s="127"/>
      <c r="AO403" s="127"/>
      <c r="AP403" s="123">
        <f>AP402</f>
        <v>0</v>
      </c>
      <c r="AQ403" s="123">
        <f t="shared" si="220"/>
        <v>0</v>
      </c>
      <c r="AR403" s="123"/>
      <c r="AS403" s="123"/>
      <c r="AT403" s="123"/>
      <c r="AU403" s="123"/>
      <c r="AV403" s="123"/>
      <c r="AW403" s="123"/>
      <c r="AX403" s="123"/>
      <c r="AY403" s="123"/>
      <c r="AZ403" s="123"/>
      <c r="BA403" s="123"/>
      <c r="BB403" s="123"/>
      <c r="BC403" s="123"/>
      <c r="BD403" s="123"/>
      <c r="BE403" s="123"/>
      <c r="BF403" s="123"/>
      <c r="BG403" s="106"/>
      <c r="BH403" s="106"/>
      <c r="BI403" s="260">
        <f>BI404</f>
        <v>11865.687809999999</v>
      </c>
      <c r="BJ403" s="260">
        <f>BJ404</f>
        <v>171406.79699999999</v>
      </c>
      <c r="BK403" s="260">
        <f>BK404</f>
        <v>38.474249999999998</v>
      </c>
      <c r="BL403" s="106"/>
      <c r="BM403" s="106"/>
      <c r="BN403" s="106"/>
      <c r="BQ403" s="461"/>
      <c r="BR403" s="461"/>
      <c r="BS403" s="106"/>
    </row>
    <row r="404" spans="1:71" x14ac:dyDescent="0.35">
      <c r="A404" s="453"/>
      <c r="B404" s="454"/>
      <c r="C404" s="129" t="s">
        <v>74</v>
      </c>
      <c r="D404" s="129" t="s">
        <v>76</v>
      </c>
      <c r="E404" s="187">
        <f>E403</f>
        <v>15089202</v>
      </c>
      <c r="F404" s="187">
        <f t="shared" si="216"/>
        <v>16899906.240000002</v>
      </c>
      <c r="G404" s="474"/>
      <c r="H404" s="475"/>
      <c r="I404" s="191">
        <f>I403</f>
        <v>742892.8731428571</v>
      </c>
      <c r="J404" s="191">
        <f t="shared" si="217"/>
        <v>832040.01792000001</v>
      </c>
      <c r="K404" s="463"/>
      <c r="L404" s="482"/>
      <c r="M404" s="469"/>
      <c r="N404" s="132">
        <f t="shared" si="218"/>
        <v>440688695.16071421</v>
      </c>
      <c r="O404" s="132">
        <f t="shared" si="218"/>
        <v>493571338.57999998</v>
      </c>
      <c r="P404" s="132">
        <f t="shared" si="219"/>
        <v>440688695.16071421</v>
      </c>
      <c r="Q404" s="250">
        <f>Q403</f>
        <v>493571338.57999998</v>
      </c>
      <c r="R404" s="437"/>
      <c r="S404" s="473"/>
      <c r="T404" s="131"/>
      <c r="U404" s="131"/>
      <c r="V404" s="131"/>
      <c r="W404" s="131">
        <f>64246.79265/1.12+43095.03515/1.12+29570.76199/1.12+65753.73726/1.12+59243.89083/1.12+99291.41862/1.12+11543.21972/1.12</f>
        <v>332807.90733928571</v>
      </c>
      <c r="X404" s="187">
        <f>W404*1.12</f>
        <v>372744.85622000002</v>
      </c>
      <c r="Y404" s="131"/>
      <c r="Z404" s="131">
        <f>W404+T404</f>
        <v>332807.90733928571</v>
      </c>
      <c r="AA404" s="131">
        <f>X404+U404</f>
        <v>372744.85622000002</v>
      </c>
      <c r="AB404" s="131"/>
      <c r="AC404" s="131">
        <f>AC403</f>
        <v>742892.87300000002</v>
      </c>
      <c r="AD404" s="131">
        <f>AC404*1.12</f>
        <v>832040.01776000008</v>
      </c>
      <c r="AE404" s="131"/>
      <c r="AF404" s="131"/>
      <c r="AG404" s="187">
        <f>AF404*1.12</f>
        <v>0</v>
      </c>
      <c r="AH404" s="131"/>
      <c r="AI404" s="130">
        <f>AI403</f>
        <v>-345945.99985714292</v>
      </c>
      <c r="AJ404" s="130">
        <f>AJ403</f>
        <v>-387459.51984000008</v>
      </c>
      <c r="AK404" s="130"/>
      <c r="AL404" s="133" t="e">
        <f>AL403</f>
        <v>#DIV/0!</v>
      </c>
      <c r="AM404" s="134">
        <f>AF404</f>
        <v>0</v>
      </c>
      <c r="AN404" s="134"/>
      <c r="AO404" s="134"/>
      <c r="AP404" s="130">
        <f>AP403</f>
        <v>0</v>
      </c>
      <c r="AQ404" s="130">
        <f t="shared" si="220"/>
        <v>0</v>
      </c>
      <c r="AR404" s="130"/>
      <c r="AS404" s="130"/>
      <c r="AT404" s="130"/>
      <c r="AU404" s="130"/>
      <c r="AV404" s="130"/>
      <c r="AW404" s="130"/>
      <c r="AX404" s="130"/>
      <c r="AY404" s="130"/>
      <c r="AZ404" s="123"/>
      <c r="BA404" s="130"/>
      <c r="BB404" s="130"/>
      <c r="BC404" s="130"/>
      <c r="BD404" s="130"/>
      <c r="BE404" s="130"/>
      <c r="BF404" s="130"/>
      <c r="BG404" s="31"/>
      <c r="BH404" s="31"/>
      <c r="BI404" s="261">
        <f>5286144.43/1000+6579543.38/1000</f>
        <v>11865.687809999999</v>
      </c>
      <c r="BJ404" s="261">
        <f>171406797/1000</f>
        <v>171406.79699999999</v>
      </c>
      <c r="BK404" s="261">
        <f>38474.25/1000</f>
        <v>38.474249999999998</v>
      </c>
      <c r="BL404" s="31"/>
      <c r="BM404" s="31"/>
      <c r="BN404" s="31"/>
      <c r="BQ404" s="461"/>
      <c r="BR404" s="461"/>
      <c r="BS404" s="31"/>
    </row>
    <row r="405" spans="1:71" x14ac:dyDescent="0.35">
      <c r="A405" s="453"/>
      <c r="B405" s="454"/>
      <c r="C405" s="217" t="s">
        <v>72</v>
      </c>
      <c r="D405" s="217" t="s">
        <v>73</v>
      </c>
      <c r="E405" s="218"/>
      <c r="F405" s="218">
        <f t="shared" si="216"/>
        <v>0</v>
      </c>
      <c r="G405" s="474"/>
      <c r="H405" s="475"/>
      <c r="I405" s="219"/>
      <c r="J405" s="219">
        <f t="shared" si="217"/>
        <v>0</v>
      </c>
      <c r="K405" s="463" t="s">
        <v>177</v>
      </c>
      <c r="L405" s="483" t="s">
        <v>178</v>
      </c>
      <c r="M405" s="467" t="s">
        <v>113</v>
      </c>
      <c r="N405" s="220">
        <f t="shared" si="218"/>
        <v>263338366.6160714</v>
      </c>
      <c r="O405" s="220">
        <f t="shared" si="218"/>
        <v>294938970.61000001</v>
      </c>
      <c r="P405" s="220">
        <f t="shared" si="219"/>
        <v>263338366.6160714</v>
      </c>
      <c r="Q405" s="259">
        <v>294938970.61000001</v>
      </c>
      <c r="R405" s="436" t="s">
        <v>141</v>
      </c>
      <c r="S405" s="471">
        <v>98</v>
      </c>
      <c r="T405" s="221"/>
      <c r="U405" s="221"/>
      <c r="V405" s="221"/>
      <c r="W405" s="221">
        <f>147202+38586</f>
        <v>185788</v>
      </c>
      <c r="X405" s="222">
        <f t="shared" ref="X405:X414" si="221">W405*1.12</f>
        <v>208082.56000000003</v>
      </c>
      <c r="Y405" s="221">
        <f>14+16+19+12+18+19</f>
        <v>98</v>
      </c>
      <c r="Z405" s="221">
        <f>T405+W405</f>
        <v>185788</v>
      </c>
      <c r="AA405" s="221">
        <f>U405+X405</f>
        <v>208082.56000000003</v>
      </c>
      <c r="AB405" s="221">
        <f>V405+Y405</f>
        <v>98</v>
      </c>
      <c r="AC405" s="221"/>
      <c r="AD405" s="221"/>
      <c r="AE405" s="221"/>
      <c r="AF405" s="221"/>
      <c r="AG405" s="222">
        <f t="shared" ref="AG405:AG414" si="222">AF405*1.12</f>
        <v>0</v>
      </c>
      <c r="AH405" s="221"/>
      <c r="AI405" s="222"/>
      <c r="AJ405" s="222">
        <f>AI405*1.12</f>
        <v>0</v>
      </c>
      <c r="AK405" s="218"/>
      <c r="AL405" s="223" t="str">
        <f>IF($AC$402=0,"",AF405/($AC$402/$AE$402*AH405))</f>
        <v/>
      </c>
      <c r="AM405" s="224"/>
      <c r="AN405" s="224"/>
      <c r="AO405" s="224"/>
      <c r="AP405" s="222"/>
      <c r="AQ405" s="222">
        <f t="shared" si="220"/>
        <v>0</v>
      </c>
      <c r="AR405" s="222"/>
      <c r="AS405" s="222"/>
      <c r="AT405" s="222">
        <f>AF405-($AC$435/$AE$435*AH405)</f>
        <v>0</v>
      </c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>
        <f>$AC$435/$AE$435*AK405</f>
        <v>0</v>
      </c>
      <c r="BG405" s="226"/>
      <c r="BH405" s="226"/>
      <c r="BI405" s="226"/>
      <c r="BJ405" s="226"/>
      <c r="BK405" s="226"/>
      <c r="BL405" s="226"/>
      <c r="BM405" s="226"/>
      <c r="BN405" s="226"/>
      <c r="BO405" s="227"/>
      <c r="BP405" s="227"/>
      <c r="BQ405" s="461"/>
      <c r="BR405" s="461"/>
      <c r="BS405" s="31"/>
    </row>
    <row r="406" spans="1:71" x14ac:dyDescent="0.35">
      <c r="A406" s="453"/>
      <c r="B406" s="454"/>
      <c r="C406" s="122" t="s">
        <v>74</v>
      </c>
      <c r="D406" s="122" t="s">
        <v>75</v>
      </c>
      <c r="E406" s="185"/>
      <c r="F406" s="185">
        <f t="shared" si="216"/>
        <v>0</v>
      </c>
      <c r="G406" s="474"/>
      <c r="H406" s="475"/>
      <c r="I406" s="189"/>
      <c r="J406" s="189">
        <f t="shared" si="217"/>
        <v>0</v>
      </c>
      <c r="K406" s="463"/>
      <c r="L406" s="484"/>
      <c r="M406" s="468"/>
      <c r="N406" s="132">
        <f t="shared" si="218"/>
        <v>263338366.6160714</v>
      </c>
      <c r="O406" s="132">
        <f t="shared" si="218"/>
        <v>294938970.61000001</v>
      </c>
      <c r="P406" s="125">
        <f t="shared" si="219"/>
        <v>263338366.6160714</v>
      </c>
      <c r="Q406" s="139">
        <f>Q405</f>
        <v>294938970.61000001</v>
      </c>
      <c r="R406" s="470"/>
      <c r="S406" s="472"/>
      <c r="T406" s="124"/>
      <c r="U406" s="124"/>
      <c r="V406" s="124"/>
      <c r="W406" s="124">
        <f>W407</f>
        <v>151031.86557142847</v>
      </c>
      <c r="X406" s="123">
        <f t="shared" si="221"/>
        <v>169155.6894399999</v>
      </c>
      <c r="Y406" s="124"/>
      <c r="Z406" s="124">
        <f>W406+T406</f>
        <v>151031.86557142847</v>
      </c>
      <c r="AA406" s="124">
        <f>X406+U406</f>
        <v>169155.6894399999</v>
      </c>
      <c r="AB406" s="124"/>
      <c r="AC406" s="124"/>
      <c r="AD406" s="124"/>
      <c r="AE406" s="124"/>
      <c r="AF406" s="124">
        <f>AF407</f>
        <v>0</v>
      </c>
      <c r="AG406" s="123">
        <f t="shared" si="222"/>
        <v>0</v>
      </c>
      <c r="AH406" s="124"/>
      <c r="AI406" s="123"/>
      <c r="AJ406" s="123">
        <f>AI406*1.12</f>
        <v>0</v>
      </c>
      <c r="AK406" s="123"/>
      <c r="AL406" s="126" t="e">
        <f>IF($AC$436=0,"",AF406/($AC$436/$AE$435*AH405))</f>
        <v>#DIV/0!</v>
      </c>
      <c r="AM406" s="127">
        <f>AF406</f>
        <v>0</v>
      </c>
      <c r="AN406" s="127"/>
      <c r="AO406" s="127"/>
      <c r="AP406" s="123">
        <f>AP405</f>
        <v>0</v>
      </c>
      <c r="AQ406" s="123">
        <f t="shared" si="220"/>
        <v>0</v>
      </c>
      <c r="AR406" s="123"/>
      <c r="AS406" s="123"/>
      <c r="AT406" s="123"/>
      <c r="AU406" s="123"/>
      <c r="AV406" s="123"/>
      <c r="AW406" s="123"/>
      <c r="AX406" s="123"/>
      <c r="AY406" s="123"/>
      <c r="AZ406" s="123"/>
      <c r="BA406" s="123"/>
      <c r="BB406" s="123"/>
      <c r="BC406" s="123"/>
      <c r="BD406" s="123"/>
      <c r="BE406" s="123"/>
      <c r="BF406" s="123"/>
      <c r="BG406" s="106"/>
      <c r="BH406" s="106"/>
      <c r="BI406" s="106"/>
      <c r="BJ406" s="106"/>
      <c r="BK406" s="106"/>
      <c r="BL406" s="106"/>
      <c r="BM406" s="106"/>
      <c r="BN406" s="106"/>
      <c r="BO406" s="103"/>
      <c r="BP406" s="103"/>
      <c r="BQ406" s="461"/>
      <c r="BR406" s="461"/>
      <c r="BS406" s="31"/>
    </row>
    <row r="407" spans="1:71" x14ac:dyDescent="0.35">
      <c r="A407" s="453"/>
      <c r="B407" s="454"/>
      <c r="C407" s="129" t="s">
        <v>74</v>
      </c>
      <c r="D407" s="129" t="s">
        <v>76</v>
      </c>
      <c r="E407" s="187"/>
      <c r="F407" s="187">
        <f t="shared" si="216"/>
        <v>0</v>
      </c>
      <c r="G407" s="474"/>
      <c r="H407" s="475"/>
      <c r="I407" s="191"/>
      <c r="J407" s="191">
        <f t="shared" si="217"/>
        <v>0</v>
      </c>
      <c r="K407" s="463"/>
      <c r="L407" s="485"/>
      <c r="M407" s="469"/>
      <c r="N407" s="132">
        <f t="shared" si="218"/>
        <v>263338366.6160714</v>
      </c>
      <c r="O407" s="132">
        <f t="shared" si="218"/>
        <v>294938970.61000001</v>
      </c>
      <c r="P407" s="132">
        <f t="shared" si="219"/>
        <v>263338366.6160714</v>
      </c>
      <c r="Q407" s="250">
        <f>Q406</f>
        <v>294938970.61000001</v>
      </c>
      <c r="R407" s="437"/>
      <c r="S407" s="473"/>
      <c r="T407" s="131"/>
      <c r="U407" s="131"/>
      <c r="V407" s="131"/>
      <c r="W407" s="131">
        <f>24735.55405/1.12+22093.38611/1.12+30324.23983/1.12+15766.72178/1.12+35284.55354/1.12+40951.2341299999/1.12</f>
        <v>151031.86557142847</v>
      </c>
      <c r="X407" s="130">
        <f t="shared" si="221"/>
        <v>169155.6894399999</v>
      </c>
      <c r="Y407" s="131"/>
      <c r="Z407" s="131">
        <f>W407+T407</f>
        <v>151031.86557142847</v>
      </c>
      <c r="AA407" s="131">
        <f>X407+U407</f>
        <v>169155.6894399999</v>
      </c>
      <c r="AB407" s="131"/>
      <c r="AC407" s="131"/>
      <c r="AD407" s="131"/>
      <c r="AE407" s="131"/>
      <c r="AF407" s="131"/>
      <c r="AG407" s="130">
        <f t="shared" si="222"/>
        <v>0</v>
      </c>
      <c r="AH407" s="131"/>
      <c r="AI407" s="130">
        <f>AI406</f>
        <v>0</v>
      </c>
      <c r="AJ407" s="130">
        <f>AJ406</f>
        <v>0</v>
      </c>
      <c r="AK407" s="130"/>
      <c r="AL407" s="133" t="e">
        <f>AL406</f>
        <v>#DIV/0!</v>
      </c>
      <c r="AM407" s="134">
        <f>AF407</f>
        <v>0</v>
      </c>
      <c r="AN407" s="134"/>
      <c r="AO407" s="134"/>
      <c r="AP407" s="130">
        <f>AP406</f>
        <v>0</v>
      </c>
      <c r="AQ407" s="130">
        <f t="shared" si="220"/>
        <v>0</v>
      </c>
      <c r="AR407" s="130"/>
      <c r="AS407" s="130"/>
      <c r="AT407" s="130"/>
      <c r="AU407" s="130"/>
      <c r="AV407" s="130"/>
      <c r="AW407" s="130"/>
      <c r="AX407" s="130"/>
      <c r="AY407" s="130"/>
      <c r="AZ407" s="123"/>
      <c r="BA407" s="130"/>
      <c r="BB407" s="130"/>
      <c r="BC407" s="130"/>
      <c r="BD407" s="130"/>
      <c r="BE407" s="130"/>
      <c r="BF407" s="130"/>
      <c r="BG407" s="31"/>
      <c r="BH407" s="31"/>
      <c r="BI407" s="31"/>
      <c r="BJ407" s="31"/>
      <c r="BK407" s="31"/>
      <c r="BL407" s="31"/>
      <c r="BM407" s="31"/>
      <c r="BN407" s="31"/>
      <c r="BQ407" s="461"/>
      <c r="BR407" s="461"/>
      <c r="BS407" s="31"/>
    </row>
    <row r="408" spans="1:71" x14ac:dyDescent="0.35">
      <c r="A408" s="453"/>
      <c r="B408" s="454"/>
      <c r="C408" s="217" t="s">
        <v>72</v>
      </c>
      <c r="D408" s="217" t="s">
        <v>73</v>
      </c>
      <c r="E408" s="218"/>
      <c r="F408" s="218">
        <f t="shared" si="216"/>
        <v>0</v>
      </c>
      <c r="G408" s="474"/>
      <c r="H408" s="475"/>
      <c r="I408" s="219"/>
      <c r="J408" s="219">
        <f t="shared" si="217"/>
        <v>0</v>
      </c>
      <c r="K408" s="463" t="s">
        <v>133</v>
      </c>
      <c r="L408" s="480" t="s">
        <v>179</v>
      </c>
      <c r="M408" s="467" t="s">
        <v>113</v>
      </c>
      <c r="N408" s="220">
        <f t="shared" si="218"/>
        <v>177350328.53571427</v>
      </c>
      <c r="O408" s="220">
        <f t="shared" si="218"/>
        <v>198632367.96000001</v>
      </c>
      <c r="P408" s="220">
        <f t="shared" si="219"/>
        <v>177350328.53571427</v>
      </c>
      <c r="Q408" s="259">
        <v>198632367.96000001</v>
      </c>
      <c r="R408" s="436" t="s">
        <v>141</v>
      </c>
      <c r="S408" s="471">
        <v>66</v>
      </c>
      <c r="T408" s="221"/>
      <c r="U408" s="221"/>
      <c r="V408" s="221"/>
      <c r="W408" s="221">
        <f>129816+7785</f>
        <v>137601</v>
      </c>
      <c r="X408" s="222">
        <f t="shared" si="221"/>
        <v>154113.12000000002</v>
      </c>
      <c r="Y408" s="221">
        <f>7+17+16+11+11+4</f>
        <v>66</v>
      </c>
      <c r="Z408" s="221">
        <f>T408+W408</f>
        <v>137601</v>
      </c>
      <c r="AA408" s="221">
        <f>U408+X408</f>
        <v>154113.12000000002</v>
      </c>
      <c r="AB408" s="221">
        <f>V408+Y408</f>
        <v>66</v>
      </c>
      <c r="AC408" s="221"/>
      <c r="AD408" s="221"/>
      <c r="AE408" s="221"/>
      <c r="AF408" s="221"/>
      <c r="AG408" s="222">
        <f t="shared" si="222"/>
        <v>0</v>
      </c>
      <c r="AH408" s="221"/>
      <c r="AI408" s="218"/>
      <c r="AJ408" s="222">
        <f>AI408*1.12</f>
        <v>0</v>
      </c>
      <c r="AK408" s="218"/>
      <c r="AL408" s="223" t="str">
        <f>IF($AC$402=0,"",AF408/($AC$402/$AE$402*AH408))</f>
        <v/>
      </c>
      <c r="AM408" s="224"/>
      <c r="AN408" s="224"/>
      <c r="AO408" s="224"/>
      <c r="AP408" s="222"/>
      <c r="AQ408" s="222">
        <f t="shared" si="220"/>
        <v>0</v>
      </c>
      <c r="AR408" s="222"/>
      <c r="AS408" s="222"/>
      <c r="AT408" s="222">
        <f>AF408-($AC$435/$AE$435*AH408)</f>
        <v>0</v>
      </c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>
        <f>$AC$435/$AE$435*AK408</f>
        <v>0</v>
      </c>
      <c r="BG408" s="226"/>
      <c r="BH408" s="226"/>
      <c r="BI408" s="226"/>
      <c r="BJ408" s="226"/>
      <c r="BK408" s="226"/>
      <c r="BL408" s="226"/>
      <c r="BM408" s="226"/>
      <c r="BN408" s="226"/>
      <c r="BO408" s="227"/>
      <c r="BP408" s="227"/>
      <c r="BQ408" s="461"/>
      <c r="BR408" s="461"/>
      <c r="BS408" s="31"/>
    </row>
    <row r="409" spans="1:71" x14ac:dyDescent="0.35">
      <c r="A409" s="453"/>
      <c r="B409" s="454"/>
      <c r="C409" s="122" t="s">
        <v>74</v>
      </c>
      <c r="D409" s="122" t="s">
        <v>75</v>
      </c>
      <c r="E409" s="185"/>
      <c r="F409" s="185">
        <f t="shared" si="216"/>
        <v>0</v>
      </c>
      <c r="G409" s="474"/>
      <c r="H409" s="475"/>
      <c r="I409" s="189"/>
      <c r="J409" s="189">
        <f t="shared" si="217"/>
        <v>0</v>
      </c>
      <c r="K409" s="463"/>
      <c r="L409" s="481"/>
      <c r="M409" s="468"/>
      <c r="N409" s="132">
        <f t="shared" si="218"/>
        <v>177350328.53571427</v>
      </c>
      <c r="O409" s="132">
        <f t="shared" si="218"/>
        <v>198632367.96000001</v>
      </c>
      <c r="P409" s="125">
        <f t="shared" si="219"/>
        <v>177350328.53571427</v>
      </c>
      <c r="Q409" s="139">
        <f>Q408</f>
        <v>198632367.96000001</v>
      </c>
      <c r="R409" s="470"/>
      <c r="S409" s="472"/>
      <c r="T409" s="124"/>
      <c r="U409" s="124"/>
      <c r="V409" s="124"/>
      <c r="W409" s="124">
        <f>W410</f>
        <v>85313.213339285721</v>
      </c>
      <c r="X409" s="123">
        <f t="shared" si="221"/>
        <v>95550.798940000022</v>
      </c>
      <c r="Y409" s="124"/>
      <c r="Z409" s="124">
        <f>W409+T409</f>
        <v>85313.213339285721</v>
      </c>
      <c r="AA409" s="124">
        <f>X409+U409</f>
        <v>95550.798940000022</v>
      </c>
      <c r="AB409" s="124"/>
      <c r="AC409" s="124"/>
      <c r="AD409" s="124"/>
      <c r="AE409" s="124"/>
      <c r="AF409" s="124">
        <f>AF410</f>
        <v>0</v>
      </c>
      <c r="AG409" s="123">
        <f t="shared" si="222"/>
        <v>0</v>
      </c>
      <c r="AH409" s="124"/>
      <c r="AI409" s="123">
        <f>AF409-($AC$436/$AE$435*$AH$441)+$AC$436/$AE$435*AK408</f>
        <v>0</v>
      </c>
      <c r="AJ409" s="123">
        <f>AI409*1.12</f>
        <v>0</v>
      </c>
      <c r="AK409" s="123"/>
      <c r="AL409" s="126" t="e">
        <f>IF($AC$436=0,"",AF409/($AC$436/$AE$435*AH408))</f>
        <v>#DIV/0!</v>
      </c>
      <c r="AM409" s="127">
        <f>AF409</f>
        <v>0</v>
      </c>
      <c r="AN409" s="127"/>
      <c r="AO409" s="127"/>
      <c r="AP409" s="123">
        <f>AP408</f>
        <v>0</v>
      </c>
      <c r="AQ409" s="123">
        <f t="shared" si="220"/>
        <v>0</v>
      </c>
      <c r="AR409" s="123"/>
      <c r="AS409" s="123"/>
      <c r="AT409" s="123"/>
      <c r="AU409" s="123"/>
      <c r="AV409" s="123"/>
      <c r="AW409" s="123"/>
      <c r="AX409" s="123"/>
      <c r="AY409" s="123"/>
      <c r="AZ409" s="123"/>
      <c r="BA409" s="123"/>
      <c r="BB409" s="123"/>
      <c r="BC409" s="123"/>
      <c r="BD409" s="123"/>
      <c r="BE409" s="123"/>
      <c r="BF409" s="123"/>
      <c r="BG409" s="106"/>
      <c r="BH409" s="106"/>
      <c r="BI409" s="106"/>
      <c r="BJ409" s="106"/>
      <c r="BK409" s="106"/>
      <c r="BL409" s="106"/>
      <c r="BM409" s="106"/>
      <c r="BN409" s="106"/>
      <c r="BO409" s="103"/>
      <c r="BP409" s="103"/>
      <c r="BQ409" s="461"/>
      <c r="BR409" s="461"/>
      <c r="BS409" s="31"/>
    </row>
    <row r="410" spans="1:71" x14ac:dyDescent="0.35">
      <c r="A410" s="453"/>
      <c r="B410" s="454"/>
      <c r="C410" s="129" t="s">
        <v>74</v>
      </c>
      <c r="D410" s="129" t="s">
        <v>76</v>
      </c>
      <c r="E410" s="187"/>
      <c r="F410" s="187">
        <f t="shared" si="216"/>
        <v>0</v>
      </c>
      <c r="G410" s="474"/>
      <c r="H410" s="475"/>
      <c r="I410" s="191"/>
      <c r="J410" s="191">
        <f t="shared" si="217"/>
        <v>0</v>
      </c>
      <c r="K410" s="463"/>
      <c r="L410" s="482"/>
      <c r="M410" s="469"/>
      <c r="N410" s="132">
        <f t="shared" si="218"/>
        <v>177350328.53571427</v>
      </c>
      <c r="O410" s="132">
        <f t="shared" si="218"/>
        <v>198632367.96000001</v>
      </c>
      <c r="P410" s="132">
        <f t="shared" si="219"/>
        <v>177350328.53571427</v>
      </c>
      <c r="Q410" s="250">
        <f>Q409</f>
        <v>198632367.96000001</v>
      </c>
      <c r="R410" s="437"/>
      <c r="S410" s="473"/>
      <c r="T410" s="131"/>
      <c r="U410" s="131"/>
      <c r="V410" s="131"/>
      <c r="W410" s="131">
        <f>12966.87645/1.12+23744.31666/1.12+19174.24684/1.12+16216.77931/1.12+18892.58842/1.12+4555.99126/1.12</f>
        <v>85313.213339285721</v>
      </c>
      <c r="X410" s="130">
        <f t="shared" si="221"/>
        <v>95550.798940000022</v>
      </c>
      <c r="Y410" s="131"/>
      <c r="Z410" s="131">
        <f>W410+T410</f>
        <v>85313.213339285721</v>
      </c>
      <c r="AA410" s="131">
        <f>X410+U410</f>
        <v>95550.798940000022</v>
      </c>
      <c r="AB410" s="131"/>
      <c r="AC410" s="131"/>
      <c r="AD410" s="131"/>
      <c r="AE410" s="131"/>
      <c r="AF410" s="131"/>
      <c r="AG410" s="130">
        <f t="shared" si="222"/>
        <v>0</v>
      </c>
      <c r="AH410" s="131"/>
      <c r="AI410" s="130">
        <f>AI409</f>
        <v>0</v>
      </c>
      <c r="AJ410" s="130">
        <f>AJ409</f>
        <v>0</v>
      </c>
      <c r="AK410" s="130"/>
      <c r="AL410" s="133" t="e">
        <f>AL409</f>
        <v>#DIV/0!</v>
      </c>
      <c r="AM410" s="134">
        <f>AF410</f>
        <v>0</v>
      </c>
      <c r="AN410" s="134"/>
      <c r="AO410" s="134"/>
      <c r="AP410" s="130">
        <f>AP409</f>
        <v>0</v>
      </c>
      <c r="AQ410" s="130">
        <f t="shared" si="220"/>
        <v>0</v>
      </c>
      <c r="AR410" s="130"/>
      <c r="AS410" s="130"/>
      <c r="AT410" s="130"/>
      <c r="AU410" s="130"/>
      <c r="AV410" s="130"/>
      <c r="AW410" s="130"/>
      <c r="AX410" s="130"/>
      <c r="AY410" s="130"/>
      <c r="AZ410" s="123"/>
      <c r="BA410" s="130"/>
      <c r="BB410" s="130"/>
      <c r="BC410" s="130"/>
      <c r="BD410" s="130"/>
      <c r="BE410" s="130"/>
      <c r="BF410" s="130"/>
      <c r="BG410" s="31"/>
      <c r="BH410" s="31"/>
      <c r="BI410" s="31"/>
      <c r="BJ410" s="31"/>
      <c r="BK410" s="31"/>
      <c r="BL410" s="31"/>
      <c r="BM410" s="31"/>
      <c r="BN410" s="31"/>
      <c r="BQ410" s="461"/>
      <c r="BR410" s="461"/>
      <c r="BS410" s="31"/>
    </row>
    <row r="411" spans="1:71" x14ac:dyDescent="0.35">
      <c r="A411" s="453"/>
      <c r="B411" s="454"/>
      <c r="C411" s="217" t="s">
        <v>72</v>
      </c>
      <c r="D411" s="217" t="s">
        <v>73</v>
      </c>
      <c r="E411" s="218"/>
      <c r="F411" s="218">
        <f t="shared" si="216"/>
        <v>0</v>
      </c>
      <c r="G411" s="474"/>
      <c r="H411" s="475"/>
      <c r="I411" s="219"/>
      <c r="J411" s="219">
        <f t="shared" si="217"/>
        <v>0</v>
      </c>
      <c r="K411" s="463" t="s">
        <v>180</v>
      </c>
      <c r="L411" s="480" t="s">
        <v>181</v>
      </c>
      <c r="M411" s="467" t="s">
        <v>113</v>
      </c>
      <c r="N411" s="220">
        <f t="shared" si="218"/>
        <v>150479066.6428571</v>
      </c>
      <c r="O411" s="220">
        <f t="shared" si="218"/>
        <v>168536554.63999999</v>
      </c>
      <c r="P411" s="220">
        <f t="shared" si="219"/>
        <v>150479066.6428571</v>
      </c>
      <c r="Q411" s="259">
        <v>168536554.63999999</v>
      </c>
      <c r="R411" s="436" t="s">
        <v>141</v>
      </c>
      <c r="S411" s="471">
        <v>56</v>
      </c>
      <c r="T411" s="221"/>
      <c r="U411" s="221"/>
      <c r="V411" s="221"/>
      <c r="W411" s="221">
        <f>(86817+23759+1)+4814</f>
        <v>115391</v>
      </c>
      <c r="X411" s="222">
        <f t="shared" si="221"/>
        <v>129237.92000000001</v>
      </c>
      <c r="Y411" s="221">
        <f>9+10+12+5+7+11+2</f>
        <v>56</v>
      </c>
      <c r="Z411" s="221">
        <f>T411+W411</f>
        <v>115391</v>
      </c>
      <c r="AA411" s="221">
        <f>U411+X411</f>
        <v>129237.92000000001</v>
      </c>
      <c r="AB411" s="221">
        <f>V411+Y411</f>
        <v>56</v>
      </c>
      <c r="AC411" s="221"/>
      <c r="AD411" s="221"/>
      <c r="AE411" s="221"/>
      <c r="AF411" s="221"/>
      <c r="AG411" s="222">
        <f t="shared" si="222"/>
        <v>0</v>
      </c>
      <c r="AH411" s="221"/>
      <c r="AI411" s="222"/>
      <c r="AJ411" s="222">
        <f>AI411*1.12</f>
        <v>0</v>
      </c>
      <c r="AK411" s="218"/>
      <c r="AL411" s="223" t="str">
        <f>IF($AC$402=0,"",AF411/($AC$402/$AE$402*AH411))</f>
        <v/>
      </c>
      <c r="AM411" s="224"/>
      <c r="AN411" s="224"/>
      <c r="AO411" s="224"/>
      <c r="AP411" s="222"/>
      <c r="AQ411" s="222">
        <f t="shared" si="220"/>
        <v>0</v>
      </c>
      <c r="AR411" s="222"/>
      <c r="AS411" s="222"/>
      <c r="AT411" s="222">
        <f>AF411-($AC$435/$AE$435*AH411)</f>
        <v>0</v>
      </c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>
        <f>$AC$435/$AE$435*AK411</f>
        <v>0</v>
      </c>
      <c r="BG411" s="226"/>
      <c r="BH411" s="226"/>
      <c r="BI411" s="226"/>
      <c r="BJ411" s="226"/>
      <c r="BK411" s="226"/>
      <c r="BL411" s="226"/>
      <c r="BM411" s="226"/>
      <c r="BN411" s="226"/>
      <c r="BO411" s="227"/>
      <c r="BP411" s="227"/>
      <c r="BQ411" s="461"/>
      <c r="BR411" s="461"/>
      <c r="BS411" s="31"/>
    </row>
    <row r="412" spans="1:71" x14ac:dyDescent="0.35">
      <c r="A412" s="453"/>
      <c r="B412" s="454"/>
      <c r="C412" s="122" t="s">
        <v>74</v>
      </c>
      <c r="D412" s="122" t="s">
        <v>75</v>
      </c>
      <c r="E412" s="185"/>
      <c r="F412" s="185">
        <f t="shared" si="216"/>
        <v>0</v>
      </c>
      <c r="G412" s="474"/>
      <c r="H412" s="475"/>
      <c r="I412" s="189"/>
      <c r="J412" s="189">
        <f t="shared" si="217"/>
        <v>0</v>
      </c>
      <c r="K412" s="463"/>
      <c r="L412" s="481"/>
      <c r="M412" s="468"/>
      <c r="N412" s="132">
        <f t="shared" si="218"/>
        <v>150479066.6428571</v>
      </c>
      <c r="O412" s="132">
        <f t="shared" si="218"/>
        <v>168536554.63999999</v>
      </c>
      <c r="P412" s="125">
        <f t="shared" si="219"/>
        <v>150479066.6428571</v>
      </c>
      <c r="Q412" s="139">
        <f>Q411</f>
        <v>168536554.63999999</v>
      </c>
      <c r="R412" s="470"/>
      <c r="S412" s="472"/>
      <c r="T412" s="124"/>
      <c r="U412" s="124"/>
      <c r="V412" s="124"/>
      <c r="W412" s="124">
        <f>W413</f>
        <v>96960.115633928552</v>
      </c>
      <c r="X412" s="123">
        <f t="shared" si="221"/>
        <v>108595.32950999998</v>
      </c>
      <c r="Y412" s="124"/>
      <c r="Z412" s="124">
        <f>W412+T412</f>
        <v>96960.115633928552</v>
      </c>
      <c r="AA412" s="124">
        <f>X412+U412</f>
        <v>108595.32950999998</v>
      </c>
      <c r="AB412" s="124"/>
      <c r="AC412" s="124"/>
      <c r="AD412" s="124"/>
      <c r="AE412" s="124"/>
      <c r="AF412" s="124">
        <f>AF413</f>
        <v>0</v>
      </c>
      <c r="AG412" s="123">
        <f t="shared" si="222"/>
        <v>0</v>
      </c>
      <c r="AH412" s="124"/>
      <c r="AI412" s="123">
        <f>AF412-($AC$436/$AE$435*$AH$444)+$AC$436/$AE$435*AK411</f>
        <v>0</v>
      </c>
      <c r="AJ412" s="123">
        <f>AI412*1.12</f>
        <v>0</v>
      </c>
      <c r="AK412" s="123"/>
      <c r="AL412" s="126" t="e">
        <f>IF($AC$436=0,"",AF412/($AC$436/$AE$435*AH411))</f>
        <v>#DIV/0!</v>
      </c>
      <c r="AM412" s="127">
        <f>AF412</f>
        <v>0</v>
      </c>
      <c r="AN412" s="127"/>
      <c r="AO412" s="127"/>
      <c r="AP412" s="123">
        <f>AP411</f>
        <v>0</v>
      </c>
      <c r="AQ412" s="123">
        <f t="shared" si="220"/>
        <v>0</v>
      </c>
      <c r="AR412" s="123"/>
      <c r="AS412" s="123"/>
      <c r="AT412" s="123"/>
      <c r="AU412" s="123"/>
      <c r="AV412" s="123"/>
      <c r="AW412" s="123"/>
      <c r="AX412" s="123"/>
      <c r="AY412" s="123"/>
      <c r="AZ412" s="123"/>
      <c r="BA412" s="123"/>
      <c r="BB412" s="123"/>
      <c r="BC412" s="123"/>
      <c r="BD412" s="123"/>
      <c r="BE412" s="123"/>
      <c r="BF412" s="123"/>
      <c r="BG412" s="106"/>
      <c r="BH412" s="106"/>
      <c r="BI412" s="106"/>
      <c r="BJ412" s="106"/>
      <c r="BK412" s="106"/>
      <c r="BL412" s="106"/>
      <c r="BM412" s="106"/>
      <c r="BN412" s="106"/>
      <c r="BO412" s="103"/>
      <c r="BP412" s="103"/>
      <c r="BQ412" s="461"/>
      <c r="BR412" s="461"/>
      <c r="BS412" s="31"/>
    </row>
    <row r="413" spans="1:71" x14ac:dyDescent="0.35">
      <c r="A413" s="453"/>
      <c r="B413" s="454"/>
      <c r="C413" s="129" t="s">
        <v>74</v>
      </c>
      <c r="D413" s="129" t="s">
        <v>76</v>
      </c>
      <c r="E413" s="187"/>
      <c r="F413" s="187">
        <f t="shared" si="216"/>
        <v>0</v>
      </c>
      <c r="G413" s="474"/>
      <c r="H413" s="475"/>
      <c r="I413" s="191"/>
      <c r="J413" s="191">
        <f t="shared" si="217"/>
        <v>0</v>
      </c>
      <c r="K413" s="463"/>
      <c r="L413" s="482"/>
      <c r="M413" s="469"/>
      <c r="N413" s="132">
        <f t="shared" si="218"/>
        <v>150479066.6428571</v>
      </c>
      <c r="O413" s="132">
        <f t="shared" si="218"/>
        <v>168536554.63999999</v>
      </c>
      <c r="P413" s="132">
        <f t="shared" si="219"/>
        <v>150479066.6428571</v>
      </c>
      <c r="Q413" s="250">
        <f>Q412</f>
        <v>168536554.63999999</v>
      </c>
      <c r="R413" s="437"/>
      <c r="S413" s="473"/>
      <c r="T413" s="131"/>
      <c r="U413" s="131"/>
      <c r="V413" s="131"/>
      <c r="W413" s="131">
        <f>0+31026.13971/1.12+20967.73188/1.12+11551.37172/1.12+16482.41275/1.12+23426.20403/1.12+5141.46942/1.12</f>
        <v>96960.115633928552</v>
      </c>
      <c r="X413" s="130">
        <f t="shared" si="221"/>
        <v>108595.32950999998</v>
      </c>
      <c r="Y413" s="131"/>
      <c r="Z413" s="131">
        <f>W413+T413</f>
        <v>96960.115633928552</v>
      </c>
      <c r="AA413" s="131">
        <f>X413+U413</f>
        <v>108595.32950999998</v>
      </c>
      <c r="AB413" s="131"/>
      <c r="AC413" s="131"/>
      <c r="AD413" s="131"/>
      <c r="AE413" s="131"/>
      <c r="AF413" s="131"/>
      <c r="AG413" s="130">
        <f t="shared" si="222"/>
        <v>0</v>
      </c>
      <c r="AH413" s="131"/>
      <c r="AI413" s="130">
        <f>AI412</f>
        <v>0</v>
      </c>
      <c r="AJ413" s="130">
        <f>AJ412</f>
        <v>0</v>
      </c>
      <c r="AK413" s="130"/>
      <c r="AL413" s="133" t="e">
        <f>AL412</f>
        <v>#DIV/0!</v>
      </c>
      <c r="AM413" s="134">
        <f>AF413</f>
        <v>0</v>
      </c>
      <c r="AN413" s="134"/>
      <c r="AO413" s="134"/>
      <c r="AP413" s="130">
        <f>AP412</f>
        <v>0</v>
      </c>
      <c r="AQ413" s="130">
        <f t="shared" si="220"/>
        <v>0</v>
      </c>
      <c r="AR413" s="130"/>
      <c r="AS413" s="130"/>
      <c r="AT413" s="130"/>
      <c r="AU413" s="130"/>
      <c r="AV413" s="130"/>
      <c r="AW413" s="130"/>
      <c r="AX413" s="130"/>
      <c r="AY413" s="130"/>
      <c r="AZ413" s="123"/>
      <c r="BA413" s="130"/>
      <c r="BB413" s="130"/>
      <c r="BC413" s="130"/>
      <c r="BD413" s="130"/>
      <c r="BE413" s="130"/>
      <c r="BF413" s="130"/>
      <c r="BG413" s="31"/>
      <c r="BH413" s="31"/>
      <c r="BI413" s="31"/>
      <c r="BJ413" s="31"/>
      <c r="BK413" s="31"/>
      <c r="BL413" s="31"/>
      <c r="BM413" s="31"/>
      <c r="BN413" s="31"/>
      <c r="BQ413" s="461"/>
      <c r="BR413" s="461"/>
      <c r="BS413" s="31"/>
    </row>
    <row r="414" spans="1:71" x14ac:dyDescent="0.35">
      <c r="A414" s="453"/>
      <c r="B414" s="454"/>
      <c r="C414" s="217" t="s">
        <v>72</v>
      </c>
      <c r="D414" s="217" t="s">
        <v>73</v>
      </c>
      <c r="E414" s="218"/>
      <c r="F414" s="218">
        <f t="shared" si="216"/>
        <v>0</v>
      </c>
      <c r="G414" s="474"/>
      <c r="H414" s="475"/>
      <c r="I414" s="219"/>
      <c r="J414" s="219">
        <f t="shared" si="217"/>
        <v>0</v>
      </c>
      <c r="K414" s="463" t="s">
        <v>182</v>
      </c>
      <c r="L414" s="483" t="s">
        <v>183</v>
      </c>
      <c r="M414" s="467" t="s">
        <v>113</v>
      </c>
      <c r="N414" s="220">
        <f t="shared" si="218"/>
        <v>99423669.026785702</v>
      </c>
      <c r="O414" s="220">
        <f t="shared" si="218"/>
        <v>111354509.31</v>
      </c>
      <c r="P414" s="220">
        <f t="shared" si="219"/>
        <v>99423669.026785702</v>
      </c>
      <c r="Q414" s="259">
        <v>111354509.31</v>
      </c>
      <c r="R414" s="436" t="s">
        <v>141</v>
      </c>
      <c r="S414" s="471">
        <v>37</v>
      </c>
      <c r="T414" s="221"/>
      <c r="U414" s="221"/>
      <c r="V414" s="221"/>
      <c r="W414" s="221">
        <f>106204-1</f>
        <v>106203</v>
      </c>
      <c r="X414" s="222">
        <f t="shared" si="221"/>
        <v>118947.36000000002</v>
      </c>
      <c r="Y414" s="221">
        <f>5+10+10+5+7</f>
        <v>37</v>
      </c>
      <c r="Z414" s="221">
        <f>T414+W414</f>
        <v>106203</v>
      </c>
      <c r="AA414" s="221">
        <f>U414+X414</f>
        <v>118947.36000000002</v>
      </c>
      <c r="AB414" s="221">
        <f>V414+Y414</f>
        <v>37</v>
      </c>
      <c r="AC414" s="221"/>
      <c r="AD414" s="221"/>
      <c r="AE414" s="221"/>
      <c r="AF414" s="221"/>
      <c r="AG414" s="222">
        <f t="shared" si="222"/>
        <v>0</v>
      </c>
      <c r="AH414" s="221"/>
      <c r="AI414" s="222"/>
      <c r="AJ414" s="222">
        <f>AI414*1.12</f>
        <v>0</v>
      </c>
      <c r="AK414" s="218"/>
      <c r="AL414" s="223" t="str">
        <f>IF($AC$402=0,"",AF414/($AC$402/$AE$402*AH414))</f>
        <v/>
      </c>
      <c r="AM414" s="224"/>
      <c r="AN414" s="224"/>
      <c r="AO414" s="224"/>
      <c r="AP414" s="218"/>
      <c r="AQ414" s="222">
        <f t="shared" si="220"/>
        <v>0</v>
      </c>
      <c r="AR414" s="222"/>
      <c r="AS414" s="222"/>
      <c r="AT414" s="222">
        <f>AF414-($AC$435/$AE$435*AH414)</f>
        <v>0</v>
      </c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>
        <f>$AC$435/$AE$435*AK414</f>
        <v>0</v>
      </c>
      <c r="BG414" s="226"/>
      <c r="BH414" s="226"/>
      <c r="BI414" s="226"/>
      <c r="BJ414" s="226"/>
      <c r="BK414" s="226"/>
      <c r="BL414" s="226"/>
      <c r="BM414" s="226"/>
      <c r="BN414" s="226"/>
      <c r="BO414" s="227"/>
      <c r="BP414" s="227"/>
      <c r="BQ414" s="461"/>
      <c r="BR414" s="461"/>
      <c r="BS414" s="31"/>
    </row>
    <row r="415" spans="1:71" x14ac:dyDescent="0.35">
      <c r="A415" s="453"/>
      <c r="B415" s="454"/>
      <c r="C415" s="122" t="s">
        <v>74</v>
      </c>
      <c r="D415" s="122" t="s">
        <v>75</v>
      </c>
      <c r="E415" s="185"/>
      <c r="F415" s="185">
        <f t="shared" si="216"/>
        <v>0</v>
      </c>
      <c r="G415" s="474"/>
      <c r="H415" s="475"/>
      <c r="I415" s="189"/>
      <c r="J415" s="189">
        <f t="shared" si="217"/>
        <v>0</v>
      </c>
      <c r="K415" s="463"/>
      <c r="L415" s="484"/>
      <c r="M415" s="468"/>
      <c r="N415" s="132">
        <f t="shared" si="218"/>
        <v>99423669.026785702</v>
      </c>
      <c r="O415" s="132">
        <f t="shared" si="218"/>
        <v>111354509.31</v>
      </c>
      <c r="P415" s="125">
        <f t="shared" si="219"/>
        <v>99423669.026785702</v>
      </c>
      <c r="Q415" s="139">
        <f>Q414</f>
        <v>111354509.31</v>
      </c>
      <c r="R415" s="470"/>
      <c r="S415" s="472"/>
      <c r="T415" s="124"/>
      <c r="U415" s="124"/>
      <c r="V415" s="124"/>
      <c r="W415" s="124">
        <f>W416</f>
        <v>81811.071794642834</v>
      </c>
      <c r="X415" s="123">
        <f>X416</f>
        <v>91628.400409999987</v>
      </c>
      <c r="Y415" s="124"/>
      <c r="Z415" s="124">
        <f>W415+T415</f>
        <v>81811.071794642834</v>
      </c>
      <c r="AA415" s="124">
        <f>X415+U415</f>
        <v>91628.400409999987</v>
      </c>
      <c r="AB415" s="124"/>
      <c r="AC415" s="124"/>
      <c r="AD415" s="124"/>
      <c r="AE415" s="124"/>
      <c r="AF415" s="124">
        <f>AF416</f>
        <v>0</v>
      </c>
      <c r="AG415" s="123">
        <f>AG416</f>
        <v>0</v>
      </c>
      <c r="AH415" s="124"/>
      <c r="AI415" s="123">
        <f>AF415-($AC$436/$AE$435*$AH$447)+$AC$436/$AE$435*AK414</f>
        <v>0</v>
      </c>
      <c r="AJ415" s="123">
        <f>AI415*1.12</f>
        <v>0</v>
      </c>
      <c r="AK415" s="123"/>
      <c r="AL415" s="126" t="e">
        <f>IF($AC$436=0,"",AF415/($AC$436/$AE$435*AH414))</f>
        <v>#DIV/0!</v>
      </c>
      <c r="AM415" s="127">
        <f>AF415</f>
        <v>0</v>
      </c>
      <c r="AN415" s="127"/>
      <c r="AO415" s="127"/>
      <c r="AP415" s="123">
        <f>AP414</f>
        <v>0</v>
      </c>
      <c r="AQ415" s="123">
        <f t="shared" si="220"/>
        <v>0</v>
      </c>
      <c r="AR415" s="123"/>
      <c r="AS415" s="123"/>
      <c r="AT415" s="123"/>
      <c r="AU415" s="123"/>
      <c r="AV415" s="123"/>
      <c r="AW415" s="123"/>
      <c r="AX415" s="123"/>
      <c r="AY415" s="123"/>
      <c r="AZ415" s="123"/>
      <c r="BA415" s="123"/>
      <c r="BB415" s="123"/>
      <c r="BC415" s="123"/>
      <c r="BD415" s="123"/>
      <c r="BE415" s="123"/>
      <c r="BF415" s="123"/>
      <c r="BG415" s="106"/>
      <c r="BH415" s="106"/>
      <c r="BI415" s="262">
        <f>BI416</f>
        <v>479.03246000000001</v>
      </c>
      <c r="BJ415" s="106"/>
      <c r="BK415" s="106"/>
      <c r="BL415" s="106"/>
      <c r="BM415" s="106"/>
      <c r="BN415" s="106"/>
      <c r="BO415" s="103"/>
      <c r="BP415" s="103"/>
      <c r="BQ415" s="461"/>
      <c r="BR415" s="461"/>
      <c r="BS415" s="31"/>
    </row>
    <row r="416" spans="1:71" x14ac:dyDescent="0.35">
      <c r="A416" s="453"/>
      <c r="B416" s="454"/>
      <c r="C416" s="129" t="s">
        <v>74</v>
      </c>
      <c r="D416" s="129" t="s">
        <v>76</v>
      </c>
      <c r="E416" s="187"/>
      <c r="F416" s="187">
        <f t="shared" si="216"/>
        <v>0</v>
      </c>
      <c r="G416" s="474"/>
      <c r="H416" s="475"/>
      <c r="I416" s="191"/>
      <c r="J416" s="191">
        <f t="shared" si="217"/>
        <v>0</v>
      </c>
      <c r="K416" s="463"/>
      <c r="L416" s="485"/>
      <c r="M416" s="469"/>
      <c r="N416" s="132">
        <f t="shared" si="218"/>
        <v>99423669.026785702</v>
      </c>
      <c r="O416" s="132">
        <f t="shared" si="218"/>
        <v>111354509.31</v>
      </c>
      <c r="P416" s="132">
        <f t="shared" si="219"/>
        <v>99423669.026785702</v>
      </c>
      <c r="Q416" s="250">
        <f>Q415</f>
        <v>111354509.31</v>
      </c>
      <c r="R416" s="437"/>
      <c r="S416" s="473"/>
      <c r="T416" s="131"/>
      <c r="U416" s="131"/>
      <c r="V416" s="131"/>
      <c r="W416" s="131">
        <f>0+30129.58048/1.12+13352.38835/1.12+48146.43158/1.12</f>
        <v>81811.071794642834</v>
      </c>
      <c r="X416" s="130">
        <f>W416*1.12</f>
        <v>91628.400409999987</v>
      </c>
      <c r="Y416" s="131"/>
      <c r="Z416" s="131">
        <f>W416+T416</f>
        <v>81811.071794642834</v>
      </c>
      <c r="AA416" s="131">
        <f>X416+U416</f>
        <v>91628.400409999987</v>
      </c>
      <c r="AB416" s="131"/>
      <c r="AC416" s="131"/>
      <c r="AD416" s="131"/>
      <c r="AE416" s="131"/>
      <c r="AF416" s="131"/>
      <c r="AG416" s="130">
        <f>AF416*1.12</f>
        <v>0</v>
      </c>
      <c r="AH416" s="131"/>
      <c r="AI416" s="130">
        <f>AI415</f>
        <v>0</v>
      </c>
      <c r="AJ416" s="130">
        <f>AJ415</f>
        <v>0</v>
      </c>
      <c r="AK416" s="130"/>
      <c r="AL416" s="133" t="e">
        <f>AL415</f>
        <v>#DIV/0!</v>
      </c>
      <c r="AM416" s="134">
        <f>AF416</f>
        <v>0</v>
      </c>
      <c r="AN416" s="134"/>
      <c r="AO416" s="134"/>
      <c r="AP416" s="130">
        <f>AP415</f>
        <v>0</v>
      </c>
      <c r="AQ416" s="130">
        <f t="shared" si="220"/>
        <v>0</v>
      </c>
      <c r="AR416" s="130"/>
      <c r="AS416" s="130"/>
      <c r="AT416" s="130"/>
      <c r="AU416" s="130"/>
      <c r="AV416" s="130"/>
      <c r="AW416" s="130"/>
      <c r="AX416" s="130"/>
      <c r="AY416" s="130"/>
      <c r="AZ416" s="123"/>
      <c r="BA416" s="130"/>
      <c r="BB416" s="130"/>
      <c r="BC416" s="130"/>
      <c r="BD416" s="130"/>
      <c r="BE416" s="130"/>
      <c r="BF416" s="130"/>
      <c r="BG416" s="31"/>
      <c r="BH416" s="31"/>
      <c r="BI416" s="263">
        <v>479.03246000000001</v>
      </c>
      <c r="BJ416" s="31"/>
      <c r="BK416" s="31"/>
      <c r="BL416" s="31"/>
      <c r="BM416" s="31"/>
      <c r="BN416" s="31"/>
      <c r="BQ416" s="461"/>
      <c r="BR416" s="461"/>
      <c r="BS416" s="31"/>
    </row>
    <row r="417" spans="1:71" ht="21.75" customHeight="1" x14ac:dyDescent="0.35">
      <c r="A417" s="453"/>
      <c r="B417" s="454"/>
      <c r="C417" s="217" t="s">
        <v>72</v>
      </c>
      <c r="D417" s="217" t="s">
        <v>73</v>
      </c>
      <c r="E417" s="218"/>
      <c r="F417" s="218">
        <f t="shared" si="216"/>
        <v>0</v>
      </c>
      <c r="G417" s="474"/>
      <c r="H417" s="475"/>
      <c r="I417" s="219"/>
      <c r="J417" s="219">
        <f t="shared" si="217"/>
        <v>0</v>
      </c>
      <c r="K417" s="463" t="s">
        <v>184</v>
      </c>
      <c r="L417" s="464" t="s">
        <v>185</v>
      </c>
      <c r="M417" s="467" t="s">
        <v>113</v>
      </c>
      <c r="N417" s="220">
        <f t="shared" si="218"/>
        <v>4030689284.9999995</v>
      </c>
      <c r="O417" s="220">
        <f t="shared" si="218"/>
        <v>4514371999.1999998</v>
      </c>
      <c r="P417" s="220">
        <f t="shared" si="219"/>
        <v>4030689284.9999995</v>
      </c>
      <c r="Q417" s="259">
        <v>4514371999.1999998</v>
      </c>
      <c r="R417" s="436" t="s">
        <v>125</v>
      </c>
      <c r="S417" s="471">
        <v>1500</v>
      </c>
      <c r="T417" s="221"/>
      <c r="U417" s="221"/>
      <c r="V417" s="221"/>
      <c r="W417" s="221">
        <v>5164373</v>
      </c>
      <c r="X417" s="222">
        <f t="shared" ref="X417:X432" si="223">W417*1.12</f>
        <v>5784097.7600000007</v>
      </c>
      <c r="Y417" s="221">
        <f>146+144+119+118+1+169+148+140+117+2+96+114+84+102</f>
        <v>1500</v>
      </c>
      <c r="Z417" s="221">
        <f>T417+W417</f>
        <v>5164373</v>
      </c>
      <c r="AA417" s="221">
        <f>U417+X417</f>
        <v>5784097.7600000007</v>
      </c>
      <c r="AB417" s="221">
        <f>V417+Y417</f>
        <v>1500</v>
      </c>
      <c r="AC417" s="221"/>
      <c r="AD417" s="221"/>
      <c r="AE417" s="221"/>
      <c r="AF417" s="221"/>
      <c r="AG417" s="222">
        <f t="shared" ref="AG417:AG432" si="224">AF417*1.12</f>
        <v>0</v>
      </c>
      <c r="AH417" s="221"/>
      <c r="AI417" s="222"/>
      <c r="AJ417" s="222">
        <f>AI417*1.12</f>
        <v>0</v>
      </c>
      <c r="AK417" s="218"/>
      <c r="AL417" s="223" t="str">
        <f>IF($AC$402=0,"",AF417/($AC$402/$AE$402*AH417))</f>
        <v/>
      </c>
      <c r="AM417" s="224"/>
      <c r="AN417" s="224"/>
      <c r="AO417" s="224"/>
      <c r="AP417" s="225">
        <f>I402-AP414-AP411-AP408-AP405-AP402+(AT402+AT405+AT408+AT411+AT414)</f>
        <v>0</v>
      </c>
      <c r="AQ417" s="222">
        <f t="shared" si="220"/>
        <v>0</v>
      </c>
      <c r="AR417" s="222">
        <f>H402-AR414-AR411-AR408-AR405-AR402</f>
        <v>0</v>
      </c>
      <c r="AS417" s="222"/>
      <c r="AT417" s="222">
        <f>AF417-($AC$435/$AE$435*AH417)</f>
        <v>0</v>
      </c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>
        <f>$AC$435/$AE$435*AK417</f>
        <v>0</v>
      </c>
      <c r="BG417" s="226"/>
      <c r="BH417" s="226"/>
      <c r="BI417" s="226"/>
      <c r="BJ417" s="226"/>
      <c r="BK417" s="226"/>
      <c r="BL417" s="226"/>
      <c r="BM417" s="226"/>
      <c r="BN417" s="226"/>
      <c r="BO417" s="227"/>
      <c r="BP417" s="227"/>
      <c r="BQ417" s="461"/>
      <c r="BR417" s="461"/>
      <c r="BS417" s="31"/>
    </row>
    <row r="418" spans="1:71" ht="21.75" customHeight="1" x14ac:dyDescent="0.35">
      <c r="A418" s="453"/>
      <c r="B418" s="454"/>
      <c r="C418" s="122" t="s">
        <v>74</v>
      </c>
      <c r="D418" s="122" t="s">
        <v>75</v>
      </c>
      <c r="E418" s="185"/>
      <c r="F418" s="185">
        <f t="shared" si="216"/>
        <v>0</v>
      </c>
      <c r="G418" s="474"/>
      <c r="H418" s="475"/>
      <c r="I418" s="189"/>
      <c r="J418" s="189">
        <f t="shared" si="217"/>
        <v>0</v>
      </c>
      <c r="K418" s="463"/>
      <c r="L418" s="465"/>
      <c r="M418" s="468"/>
      <c r="N418" s="132">
        <f t="shared" si="218"/>
        <v>4030689284.9999995</v>
      </c>
      <c r="O418" s="132">
        <f t="shared" si="218"/>
        <v>4514371999.1999998</v>
      </c>
      <c r="P418" s="125">
        <f t="shared" si="219"/>
        <v>4030689284.9999995</v>
      </c>
      <c r="Q418" s="139">
        <f>Q417</f>
        <v>4514371999.1999998</v>
      </c>
      <c r="R418" s="470"/>
      <c r="S418" s="472"/>
      <c r="T418" s="124"/>
      <c r="U418" s="124"/>
      <c r="V418" s="124"/>
      <c r="W418" s="124">
        <f>W419</f>
        <v>3270111.0563660706</v>
      </c>
      <c r="X418" s="123">
        <f t="shared" si="223"/>
        <v>3662524.3831299995</v>
      </c>
      <c r="Y418" s="124"/>
      <c r="Z418" s="124">
        <f>W418+T418</f>
        <v>3270111.0563660706</v>
      </c>
      <c r="AA418" s="124">
        <f>X418+U418</f>
        <v>3662524.3831299995</v>
      </c>
      <c r="AB418" s="124"/>
      <c r="AC418" s="124"/>
      <c r="AD418" s="124"/>
      <c r="AE418" s="124"/>
      <c r="AF418" s="124">
        <f>AF419</f>
        <v>314219.76038392854</v>
      </c>
      <c r="AG418" s="123">
        <f t="shared" si="224"/>
        <v>351926.13163000002</v>
      </c>
      <c r="AH418" s="124"/>
      <c r="AI418" s="123"/>
      <c r="AJ418" s="123">
        <f>AI418*1.12</f>
        <v>0</v>
      </c>
      <c r="AK418" s="123"/>
      <c r="AL418" s="126" t="e">
        <f>IF($AC$436=0,"",AF418/($AC$436/$AE$435*AH417))</f>
        <v>#DIV/0!</v>
      </c>
      <c r="AM418" s="127">
        <f>AF418</f>
        <v>314219.76038392854</v>
      </c>
      <c r="AN418" s="127"/>
      <c r="AO418" s="127"/>
      <c r="AP418" s="123">
        <f>AF418</f>
        <v>314219.76038392854</v>
      </c>
      <c r="AQ418" s="123">
        <f t="shared" si="220"/>
        <v>351926.13163000002</v>
      </c>
      <c r="AR418" s="123"/>
      <c r="AS418" s="123"/>
      <c r="AT418" s="123"/>
      <c r="AU418" s="123"/>
      <c r="AV418" s="123"/>
      <c r="AW418" s="123"/>
      <c r="AX418" s="123"/>
      <c r="AY418" s="123"/>
      <c r="AZ418" s="123"/>
      <c r="BA418" s="123"/>
      <c r="BB418" s="123"/>
      <c r="BC418" s="123"/>
      <c r="BD418" s="123"/>
      <c r="BE418" s="123"/>
      <c r="BF418" s="123"/>
      <c r="BG418" s="106"/>
      <c r="BH418" s="106"/>
      <c r="BI418" s="264"/>
      <c r="BJ418" s="106"/>
      <c r="BK418" s="106"/>
      <c r="BL418" s="106"/>
      <c r="BM418" s="106"/>
      <c r="BN418" s="106"/>
      <c r="BO418" s="103"/>
      <c r="BP418" s="103"/>
      <c r="BQ418" s="461"/>
      <c r="BR418" s="461"/>
      <c r="BS418" s="31"/>
    </row>
    <row r="419" spans="1:71" ht="21.75" customHeight="1" x14ac:dyDescent="0.35">
      <c r="A419" s="453"/>
      <c r="B419" s="454"/>
      <c r="C419" s="129" t="s">
        <v>74</v>
      </c>
      <c r="D419" s="129" t="s">
        <v>76</v>
      </c>
      <c r="E419" s="187"/>
      <c r="F419" s="187">
        <f t="shared" si="216"/>
        <v>0</v>
      </c>
      <c r="G419" s="474"/>
      <c r="H419" s="475"/>
      <c r="I419" s="191"/>
      <c r="J419" s="191">
        <f t="shared" si="217"/>
        <v>0</v>
      </c>
      <c r="K419" s="463"/>
      <c r="L419" s="466"/>
      <c r="M419" s="469"/>
      <c r="N419" s="132">
        <f t="shared" si="218"/>
        <v>4030689284.9999995</v>
      </c>
      <c r="O419" s="132">
        <f t="shared" si="218"/>
        <v>4514371999.1999998</v>
      </c>
      <c r="P419" s="132">
        <f t="shared" si="219"/>
        <v>4030689284.9999995</v>
      </c>
      <c r="Q419" s="250">
        <f>Q418</f>
        <v>4514371999.1999998</v>
      </c>
      <c r="R419" s="437"/>
      <c r="S419" s="473"/>
      <c r="T419" s="131"/>
      <c r="U419" s="131"/>
      <c r="V419" s="131"/>
      <c r="W419" s="131">
        <f>344068.5324/1.12+279102.77541/1.12+329705.49609/1.12+350699.15782/1.12+510620.89385/1.12+519500.37891/1.12+356956.87581/1.12+298666.24241/1.12+224930.91941/1.12+280901.79961/1.12+167371.31141/1.12</f>
        <v>3270111.0563660706</v>
      </c>
      <c r="X419" s="130">
        <f t="shared" si="223"/>
        <v>3662524.3831299995</v>
      </c>
      <c r="Y419" s="131"/>
      <c r="Z419" s="131">
        <f>W419+T419</f>
        <v>3270111.0563660706</v>
      </c>
      <c r="AA419" s="131">
        <f>X419+U419</f>
        <v>3662524.3831299995</v>
      </c>
      <c r="AB419" s="131"/>
      <c r="AC419" s="131"/>
      <c r="AD419" s="131"/>
      <c r="AE419" s="131"/>
      <c r="AF419" s="131">
        <f>80790.19982/1.12+271135.93181/1.12</f>
        <v>314219.76038392854</v>
      </c>
      <c r="AG419" s="192">
        <f t="shared" si="224"/>
        <v>351926.13163000002</v>
      </c>
      <c r="AH419" s="131"/>
      <c r="AI419" s="130">
        <f>AI418</f>
        <v>0</v>
      </c>
      <c r="AJ419" s="130">
        <f>AJ418</f>
        <v>0</v>
      </c>
      <c r="AK419" s="130"/>
      <c r="AL419" s="133" t="e">
        <f>AL418</f>
        <v>#DIV/0!</v>
      </c>
      <c r="AM419" s="134">
        <f>AF419</f>
        <v>314219.76038392854</v>
      </c>
      <c r="AN419" s="134"/>
      <c r="AO419" s="134"/>
      <c r="AP419" s="130">
        <f>AP418</f>
        <v>314219.76038392854</v>
      </c>
      <c r="AQ419" s="130">
        <f t="shared" si="220"/>
        <v>351926.13163000002</v>
      </c>
      <c r="AR419" s="130"/>
      <c r="AS419" s="130"/>
      <c r="AT419" s="130"/>
      <c r="AU419" s="130"/>
      <c r="AV419" s="130"/>
      <c r="AW419" s="130"/>
      <c r="AX419" s="130"/>
      <c r="AY419" s="130"/>
      <c r="AZ419" s="123"/>
      <c r="BA419" s="130"/>
      <c r="BB419" s="130"/>
      <c r="BC419" s="130"/>
      <c r="BD419" s="130"/>
      <c r="BE419" s="130"/>
      <c r="BF419" s="130"/>
      <c r="BG419" s="31"/>
      <c r="BH419" s="31"/>
      <c r="BI419" s="265"/>
      <c r="BJ419" s="31"/>
      <c r="BK419" s="31"/>
      <c r="BL419" s="31"/>
      <c r="BM419" s="31"/>
      <c r="BN419" s="31"/>
      <c r="BQ419" s="461"/>
      <c r="BR419" s="461"/>
      <c r="BS419" s="31"/>
    </row>
    <row r="420" spans="1:71" ht="17.25" customHeight="1" x14ac:dyDescent="0.35">
      <c r="A420" s="453"/>
      <c r="B420" s="454"/>
      <c r="C420" s="217" t="s">
        <v>72</v>
      </c>
      <c r="D420" s="217" t="s">
        <v>73</v>
      </c>
      <c r="E420" s="218"/>
      <c r="F420" s="218">
        <f t="shared" si="216"/>
        <v>0</v>
      </c>
      <c r="G420" s="474"/>
      <c r="H420" s="475"/>
      <c r="I420" s="219"/>
      <c r="J420" s="219">
        <f t="shared" si="217"/>
        <v>0</v>
      </c>
      <c r="K420" s="463" t="s">
        <v>158</v>
      </c>
      <c r="L420" s="464" t="s">
        <v>186</v>
      </c>
      <c r="M420" s="467" t="s">
        <v>113</v>
      </c>
      <c r="N420" s="220">
        <f t="shared" si="218"/>
        <v>186076265.19642857</v>
      </c>
      <c r="O420" s="220">
        <f t="shared" si="218"/>
        <v>208405417.02000001</v>
      </c>
      <c r="P420" s="220">
        <f t="shared" si="219"/>
        <v>186076265.19642857</v>
      </c>
      <c r="Q420" s="259">
        <v>208405417.02000001</v>
      </c>
      <c r="R420" s="436" t="s">
        <v>125</v>
      </c>
      <c r="S420" s="471">
        <v>70</v>
      </c>
      <c r="T420" s="221"/>
      <c r="U420" s="221"/>
      <c r="V420" s="221"/>
      <c r="W420" s="221">
        <f>76392+31624+58338+37089-1+65247+1427</f>
        <v>270116</v>
      </c>
      <c r="X420" s="222">
        <f t="shared" si="223"/>
        <v>302529.92000000004</v>
      </c>
      <c r="Y420" s="221">
        <f>23+17+13+17</f>
        <v>70</v>
      </c>
      <c r="Z420" s="221">
        <f>T420+W420</f>
        <v>270116</v>
      </c>
      <c r="AA420" s="221">
        <f>U420+X420</f>
        <v>302529.92000000004</v>
      </c>
      <c r="AB420" s="221">
        <f>V420+Y420</f>
        <v>70</v>
      </c>
      <c r="AC420" s="221"/>
      <c r="AD420" s="221"/>
      <c r="AE420" s="221"/>
      <c r="AF420" s="221"/>
      <c r="AG420" s="222">
        <f t="shared" si="224"/>
        <v>0</v>
      </c>
      <c r="AH420" s="221"/>
      <c r="AI420" s="222"/>
      <c r="AJ420" s="222">
        <f>AI420*1.12</f>
        <v>0</v>
      </c>
      <c r="AK420" s="218"/>
      <c r="AL420" s="223" t="str">
        <f>IF($AC$402=0,"",AF420/($AC$402/$AE$402*AH420))</f>
        <v/>
      </c>
      <c r="AM420" s="224"/>
      <c r="AN420" s="224"/>
      <c r="AO420" s="224"/>
      <c r="AP420" s="222">
        <f>AF420</f>
        <v>0</v>
      </c>
      <c r="AQ420" s="222">
        <f t="shared" si="220"/>
        <v>0</v>
      </c>
      <c r="AR420" s="222"/>
      <c r="AS420" s="222"/>
      <c r="AT420" s="222">
        <f>AF420-($AC$435/$AE$435*AH420)</f>
        <v>0</v>
      </c>
      <c r="AU420" s="222"/>
      <c r="AV420" s="222"/>
      <c r="AW420" s="222"/>
      <c r="AX420" s="222"/>
      <c r="AY420" s="222"/>
      <c r="AZ420" s="222">
        <f>$AC$435/$AE$435*AK420</f>
        <v>0</v>
      </c>
      <c r="BA420" s="222"/>
      <c r="BB420" s="222"/>
      <c r="BC420" s="222"/>
      <c r="BD420" s="222"/>
      <c r="BE420" s="222"/>
      <c r="BF420" s="222"/>
      <c r="BG420" s="226"/>
      <c r="BH420" s="226"/>
      <c r="BI420" s="226"/>
      <c r="BJ420" s="226"/>
      <c r="BK420" s="226"/>
      <c r="BL420" s="226"/>
      <c r="BM420" s="226"/>
      <c r="BN420" s="226"/>
      <c r="BO420" s="227"/>
      <c r="BP420" s="227"/>
      <c r="BQ420" s="461"/>
      <c r="BR420" s="461"/>
      <c r="BS420" s="31"/>
    </row>
    <row r="421" spans="1:71" ht="17.25" customHeight="1" x14ac:dyDescent="0.35">
      <c r="A421" s="453"/>
      <c r="B421" s="454"/>
      <c r="C421" s="122" t="s">
        <v>74</v>
      </c>
      <c r="D421" s="122" t="s">
        <v>75</v>
      </c>
      <c r="E421" s="185"/>
      <c r="F421" s="185">
        <f t="shared" si="216"/>
        <v>0</v>
      </c>
      <c r="G421" s="474"/>
      <c r="H421" s="475"/>
      <c r="I421" s="189"/>
      <c r="J421" s="189">
        <f t="shared" si="217"/>
        <v>0</v>
      </c>
      <c r="K421" s="463"/>
      <c r="L421" s="465"/>
      <c r="M421" s="468"/>
      <c r="N421" s="132">
        <f t="shared" si="218"/>
        <v>186076265.19642857</v>
      </c>
      <c r="O421" s="132">
        <f t="shared" si="218"/>
        <v>208405417.02000001</v>
      </c>
      <c r="P421" s="125">
        <f t="shared" si="219"/>
        <v>186076265.19642857</v>
      </c>
      <c r="Q421" s="139">
        <f>Q420</f>
        <v>208405417.02000001</v>
      </c>
      <c r="R421" s="470"/>
      <c r="S421" s="472"/>
      <c r="T421" s="124"/>
      <c r="U421" s="124"/>
      <c r="V421" s="124"/>
      <c r="W421" s="124">
        <f>W422</f>
        <v>113015.80448214285</v>
      </c>
      <c r="X421" s="123">
        <f t="shared" si="223"/>
        <v>126577.70102000001</v>
      </c>
      <c r="Y421" s="124"/>
      <c r="Z421" s="124">
        <f>W421+T421</f>
        <v>113015.80448214285</v>
      </c>
      <c r="AA421" s="124">
        <f>X421+U421</f>
        <v>126577.70102000001</v>
      </c>
      <c r="AB421" s="124"/>
      <c r="AC421" s="124"/>
      <c r="AD421" s="124"/>
      <c r="AE421" s="124"/>
      <c r="AF421" s="124">
        <f>AF422</f>
        <v>25099.110892857141</v>
      </c>
      <c r="AG421" s="123">
        <f t="shared" si="224"/>
        <v>28111.004199999999</v>
      </c>
      <c r="AH421" s="124"/>
      <c r="AI421" s="123"/>
      <c r="AJ421" s="123">
        <f>AI421*1.12</f>
        <v>0</v>
      </c>
      <c r="AK421" s="123"/>
      <c r="AL421" s="126" t="e">
        <f>IF($AC$436=0,"",AF421/($AC$436/$AE$435*AH420))</f>
        <v>#DIV/0!</v>
      </c>
      <c r="AM421" s="127">
        <f>AF421</f>
        <v>25099.110892857141</v>
      </c>
      <c r="AN421" s="127"/>
      <c r="AO421" s="127"/>
      <c r="AP421" s="123">
        <f>AF421</f>
        <v>25099.110892857141</v>
      </c>
      <c r="AQ421" s="123">
        <f t="shared" si="220"/>
        <v>28111.004199999999</v>
      </c>
      <c r="AR421" s="123"/>
      <c r="AS421" s="123"/>
      <c r="AT421" s="123"/>
      <c r="AU421" s="123"/>
      <c r="AV421" s="123"/>
      <c r="AW421" s="123"/>
      <c r="AX421" s="123"/>
      <c r="AY421" s="123"/>
      <c r="AZ421" s="123"/>
      <c r="BA421" s="123"/>
      <c r="BB421" s="123"/>
      <c r="BC421" s="123"/>
      <c r="BD421" s="123"/>
      <c r="BE421" s="123"/>
      <c r="BF421" s="123"/>
      <c r="BG421" s="106"/>
      <c r="BH421" s="106"/>
      <c r="BI421" s="106"/>
      <c r="BJ421" s="106"/>
      <c r="BK421" s="106"/>
      <c r="BL421" s="106"/>
      <c r="BM421" s="106"/>
      <c r="BN421" s="106"/>
      <c r="BO421" s="103"/>
      <c r="BP421" s="103"/>
      <c r="BQ421" s="461"/>
      <c r="BR421" s="461"/>
      <c r="BS421" s="31"/>
    </row>
    <row r="422" spans="1:71" ht="17.25" customHeight="1" x14ac:dyDescent="0.35">
      <c r="A422" s="453"/>
      <c r="B422" s="454"/>
      <c r="C422" s="129" t="s">
        <v>74</v>
      </c>
      <c r="D422" s="129" t="s">
        <v>76</v>
      </c>
      <c r="E422" s="187"/>
      <c r="F422" s="187">
        <f t="shared" si="216"/>
        <v>0</v>
      </c>
      <c r="G422" s="474"/>
      <c r="H422" s="475"/>
      <c r="I422" s="191"/>
      <c r="J422" s="191">
        <f t="shared" si="217"/>
        <v>0</v>
      </c>
      <c r="K422" s="463"/>
      <c r="L422" s="466"/>
      <c r="M422" s="469"/>
      <c r="N422" s="132">
        <f t="shared" si="218"/>
        <v>186076265.19642857</v>
      </c>
      <c r="O422" s="132">
        <f t="shared" si="218"/>
        <v>208405417.02000001</v>
      </c>
      <c r="P422" s="132">
        <f t="shared" si="219"/>
        <v>186076265.19642857</v>
      </c>
      <c r="Q422" s="250">
        <f>Q421</f>
        <v>208405417.02000001</v>
      </c>
      <c r="R422" s="437"/>
      <c r="S422" s="473"/>
      <c r="T422" s="131"/>
      <c r="U422" s="131"/>
      <c r="V422" s="131"/>
      <c r="W422" s="131">
        <f>58791.03216/1.12+39273.95775/1.12+28512.71111/1.12</f>
        <v>113015.80448214285</v>
      </c>
      <c r="X422" s="130">
        <f t="shared" si="223"/>
        <v>126577.70102000001</v>
      </c>
      <c r="Y422" s="131"/>
      <c r="Z422" s="131">
        <f>W422+T422</f>
        <v>113015.80448214285</v>
      </c>
      <c r="AA422" s="131">
        <f>X422+U422</f>
        <v>126577.70102000001</v>
      </c>
      <c r="AB422" s="131"/>
      <c r="AC422" s="131"/>
      <c r="AD422" s="131"/>
      <c r="AE422" s="131"/>
      <c r="AF422" s="131">
        <f>28111.0042/1.12</f>
        <v>25099.110892857141</v>
      </c>
      <c r="AG422" s="192">
        <f t="shared" si="224"/>
        <v>28111.004199999999</v>
      </c>
      <c r="AH422" s="131"/>
      <c r="AI422" s="130">
        <f>AI421</f>
        <v>0</v>
      </c>
      <c r="AJ422" s="130">
        <f>AJ421</f>
        <v>0</v>
      </c>
      <c r="AK422" s="130"/>
      <c r="AL422" s="133" t="e">
        <f>AL421</f>
        <v>#DIV/0!</v>
      </c>
      <c r="AM422" s="134">
        <f>AF422</f>
        <v>25099.110892857141</v>
      </c>
      <c r="AN422" s="134"/>
      <c r="AO422" s="134"/>
      <c r="AP422" s="130">
        <f>AP421</f>
        <v>25099.110892857141</v>
      </c>
      <c r="AQ422" s="130">
        <f t="shared" si="220"/>
        <v>28111.004199999999</v>
      </c>
      <c r="AR422" s="130"/>
      <c r="AS422" s="130"/>
      <c r="AT422" s="130"/>
      <c r="AU422" s="130"/>
      <c r="AV422" s="130"/>
      <c r="AW422" s="130"/>
      <c r="AX422" s="130"/>
      <c r="AY422" s="130"/>
      <c r="AZ422" s="123"/>
      <c r="BA422" s="130"/>
      <c r="BB422" s="130"/>
      <c r="BC422" s="130"/>
      <c r="BD422" s="130"/>
      <c r="BE422" s="130"/>
      <c r="BF422" s="130"/>
      <c r="BG422" s="31"/>
      <c r="BH422" s="31"/>
      <c r="BI422" s="31"/>
      <c r="BJ422" s="31"/>
      <c r="BK422" s="31"/>
      <c r="BL422" s="31"/>
      <c r="BM422" s="31"/>
      <c r="BN422" s="31"/>
      <c r="BQ422" s="461"/>
      <c r="BR422" s="461"/>
      <c r="BS422" s="31"/>
    </row>
    <row r="423" spans="1:71" ht="17.25" customHeight="1" x14ac:dyDescent="0.35">
      <c r="A423" s="453"/>
      <c r="B423" s="454"/>
      <c r="C423" s="217" t="s">
        <v>72</v>
      </c>
      <c r="D423" s="217" t="s">
        <v>73</v>
      </c>
      <c r="E423" s="218"/>
      <c r="F423" s="218">
        <f t="shared" si="216"/>
        <v>0</v>
      </c>
      <c r="G423" s="474"/>
      <c r="H423" s="475"/>
      <c r="I423" s="219"/>
      <c r="J423" s="219">
        <f t="shared" si="217"/>
        <v>0</v>
      </c>
      <c r="K423" s="463" t="s">
        <v>133</v>
      </c>
      <c r="L423" s="477" t="s">
        <v>187</v>
      </c>
      <c r="M423" s="467" t="s">
        <v>113</v>
      </c>
      <c r="N423" s="220">
        <f t="shared" si="218"/>
        <v>42994019.035714284</v>
      </c>
      <c r="O423" s="220">
        <f t="shared" si="218"/>
        <v>48153301.32</v>
      </c>
      <c r="P423" s="220">
        <f t="shared" si="219"/>
        <v>42994019.035714284</v>
      </c>
      <c r="Q423" s="259">
        <v>48153301.32</v>
      </c>
      <c r="R423" s="436" t="s">
        <v>125</v>
      </c>
      <c r="S423" s="471">
        <v>16</v>
      </c>
      <c r="T423" s="221"/>
      <c r="U423" s="221"/>
      <c r="V423" s="221"/>
      <c r="W423" s="221">
        <f>9964+2338+15026+6258+1+22386-2644-193-1+1</f>
        <v>53136</v>
      </c>
      <c r="X423" s="222">
        <f t="shared" si="223"/>
        <v>59512.320000000007</v>
      </c>
      <c r="Y423" s="221">
        <f>3+3+3+6+1</f>
        <v>16</v>
      </c>
      <c r="Z423" s="221">
        <f>T423+W423</f>
        <v>53136</v>
      </c>
      <c r="AA423" s="221">
        <f>U423+X423</f>
        <v>59512.320000000007</v>
      </c>
      <c r="AB423" s="221">
        <f>V423+Y423</f>
        <v>16</v>
      </c>
      <c r="AC423" s="221"/>
      <c r="AD423" s="221"/>
      <c r="AE423" s="221"/>
      <c r="AF423" s="221"/>
      <c r="AG423" s="222">
        <f t="shared" si="224"/>
        <v>0</v>
      </c>
      <c r="AH423" s="221"/>
      <c r="AI423" s="222"/>
      <c r="AJ423" s="222">
        <f>AI423*1.12</f>
        <v>0</v>
      </c>
      <c r="AK423" s="218"/>
      <c r="AL423" s="223" t="str">
        <f>IF($AC$402=0,"",AF423/($AC$402/$AE$402*AH423))</f>
        <v/>
      </c>
      <c r="AM423" s="224"/>
      <c r="AN423" s="224"/>
      <c r="AO423" s="224"/>
      <c r="AP423" s="222"/>
      <c r="AQ423" s="222">
        <f t="shared" si="220"/>
        <v>0</v>
      </c>
      <c r="AR423" s="222"/>
      <c r="AS423" s="222"/>
      <c r="AT423" s="222">
        <f>AF423-($AC$435/$AE$435*AH423)</f>
        <v>0</v>
      </c>
      <c r="AU423" s="222"/>
      <c r="AV423" s="222"/>
      <c r="AW423" s="222"/>
      <c r="AX423" s="222"/>
      <c r="AY423" s="222"/>
      <c r="AZ423" s="222">
        <f>$AC$435/$AE$435*AK423</f>
        <v>0</v>
      </c>
      <c r="BA423" s="222"/>
      <c r="BB423" s="222"/>
      <c r="BC423" s="222"/>
      <c r="BD423" s="222"/>
      <c r="BE423" s="222"/>
      <c r="BF423" s="222"/>
      <c r="BG423" s="226"/>
      <c r="BH423" s="226"/>
      <c r="BI423" s="226"/>
      <c r="BJ423" s="226"/>
      <c r="BK423" s="226"/>
      <c r="BL423" s="226"/>
      <c r="BM423" s="226"/>
      <c r="BN423" s="226"/>
      <c r="BO423" s="227"/>
      <c r="BP423" s="227"/>
      <c r="BQ423" s="461"/>
      <c r="BR423" s="461"/>
      <c r="BS423" s="31"/>
    </row>
    <row r="424" spans="1:71" ht="17.25" customHeight="1" x14ac:dyDescent="0.35">
      <c r="A424" s="453"/>
      <c r="B424" s="454"/>
      <c r="C424" s="122" t="s">
        <v>74</v>
      </c>
      <c r="D424" s="122" t="s">
        <v>75</v>
      </c>
      <c r="E424" s="185"/>
      <c r="F424" s="185">
        <f t="shared" si="216"/>
        <v>0</v>
      </c>
      <c r="G424" s="474"/>
      <c r="H424" s="475"/>
      <c r="I424" s="189"/>
      <c r="J424" s="189">
        <f t="shared" si="217"/>
        <v>0</v>
      </c>
      <c r="K424" s="463"/>
      <c r="L424" s="478"/>
      <c r="M424" s="468"/>
      <c r="N424" s="132">
        <f t="shared" si="218"/>
        <v>42994019.035714284</v>
      </c>
      <c r="O424" s="132">
        <f t="shared" si="218"/>
        <v>48153301.32</v>
      </c>
      <c r="P424" s="125">
        <f t="shared" si="219"/>
        <v>42994019.035714284</v>
      </c>
      <c r="Q424" s="139">
        <f>Q423</f>
        <v>48153301.32</v>
      </c>
      <c r="R424" s="470"/>
      <c r="S424" s="472"/>
      <c r="T424" s="124"/>
      <c r="U424" s="124"/>
      <c r="V424" s="124"/>
      <c r="W424" s="124">
        <f>W425</f>
        <v>19552.288616071426</v>
      </c>
      <c r="X424" s="123">
        <f t="shared" si="223"/>
        <v>21898.563249999999</v>
      </c>
      <c r="Y424" s="124"/>
      <c r="Z424" s="124">
        <f>W424+T424</f>
        <v>19552.288616071426</v>
      </c>
      <c r="AA424" s="124">
        <f>X424+U424</f>
        <v>21898.563249999999</v>
      </c>
      <c r="AB424" s="124"/>
      <c r="AC424" s="124"/>
      <c r="AD424" s="124"/>
      <c r="AE424" s="124"/>
      <c r="AF424" s="124">
        <f>AF425</f>
        <v>1197.5987232142857</v>
      </c>
      <c r="AG424" s="123">
        <f t="shared" si="224"/>
        <v>1341.3105700000001</v>
      </c>
      <c r="AH424" s="124"/>
      <c r="AI424" s="123"/>
      <c r="AJ424" s="123">
        <f>AI424*1.12</f>
        <v>0</v>
      </c>
      <c r="AK424" s="123"/>
      <c r="AL424" s="126" t="e">
        <f>IF($AC$436=0,"",AF424/($AC$436/$AE$435*AH423))</f>
        <v>#DIV/0!</v>
      </c>
      <c r="AM424" s="127">
        <f>AF424</f>
        <v>1197.5987232142857</v>
      </c>
      <c r="AN424" s="127"/>
      <c r="AO424" s="127"/>
      <c r="AP424" s="123">
        <f>AF424</f>
        <v>1197.5987232142857</v>
      </c>
      <c r="AQ424" s="123">
        <f t="shared" si="220"/>
        <v>1341.3105700000001</v>
      </c>
      <c r="AR424" s="123"/>
      <c r="AS424" s="123"/>
      <c r="AT424" s="123"/>
      <c r="AU424" s="123"/>
      <c r="AV424" s="123"/>
      <c r="AW424" s="123"/>
      <c r="AX424" s="123"/>
      <c r="AY424" s="123"/>
      <c r="AZ424" s="123"/>
      <c r="BA424" s="123"/>
      <c r="BB424" s="123"/>
      <c r="BC424" s="123"/>
      <c r="BD424" s="123"/>
      <c r="BE424" s="123"/>
      <c r="BF424" s="123"/>
      <c r="BG424" s="106"/>
      <c r="BH424" s="106"/>
      <c r="BI424" s="106"/>
      <c r="BJ424" s="106"/>
      <c r="BK424" s="106"/>
      <c r="BL424" s="106"/>
      <c r="BM424" s="106"/>
      <c r="BN424" s="106"/>
      <c r="BO424" s="103"/>
      <c r="BP424" s="103"/>
      <c r="BQ424" s="461"/>
      <c r="BR424" s="461"/>
      <c r="BS424" s="31"/>
    </row>
    <row r="425" spans="1:71" ht="17.25" customHeight="1" x14ac:dyDescent="0.35">
      <c r="A425" s="453"/>
      <c r="B425" s="454"/>
      <c r="C425" s="129" t="s">
        <v>74</v>
      </c>
      <c r="D425" s="129" t="s">
        <v>76</v>
      </c>
      <c r="E425" s="187"/>
      <c r="F425" s="187">
        <f t="shared" si="216"/>
        <v>0</v>
      </c>
      <c r="G425" s="474"/>
      <c r="H425" s="475"/>
      <c r="I425" s="191"/>
      <c r="J425" s="191">
        <f t="shared" si="217"/>
        <v>0</v>
      </c>
      <c r="K425" s="463"/>
      <c r="L425" s="479"/>
      <c r="M425" s="469"/>
      <c r="N425" s="132">
        <f t="shared" si="218"/>
        <v>42994019.035714284</v>
      </c>
      <c r="O425" s="132">
        <f t="shared" si="218"/>
        <v>48153301.32</v>
      </c>
      <c r="P425" s="132">
        <f t="shared" si="219"/>
        <v>42994019.035714284</v>
      </c>
      <c r="Q425" s="250">
        <f>Q424</f>
        <v>48153301.32</v>
      </c>
      <c r="R425" s="437"/>
      <c r="S425" s="473"/>
      <c r="T425" s="131"/>
      <c r="U425" s="131"/>
      <c r="V425" s="131"/>
      <c r="W425" s="131">
        <f>6240.29317/1.12+4253.25492/1.12+3479.26747/1.12+7925.74769/1.12</f>
        <v>19552.288616071426</v>
      </c>
      <c r="X425" s="130">
        <f t="shared" si="223"/>
        <v>21898.563249999999</v>
      </c>
      <c r="Y425" s="131"/>
      <c r="Z425" s="131">
        <f>W425+T425</f>
        <v>19552.288616071426</v>
      </c>
      <c r="AA425" s="131">
        <f>X425+U425</f>
        <v>21898.563249999999</v>
      </c>
      <c r="AB425" s="131"/>
      <c r="AC425" s="131"/>
      <c r="AD425" s="131"/>
      <c r="AE425" s="131"/>
      <c r="AF425" s="131">
        <f>1341.31057/1.12</f>
        <v>1197.5987232142857</v>
      </c>
      <c r="AG425" s="192">
        <f t="shared" si="224"/>
        <v>1341.3105700000001</v>
      </c>
      <c r="AH425" s="131"/>
      <c r="AI425" s="130">
        <f>AI424</f>
        <v>0</v>
      </c>
      <c r="AJ425" s="130">
        <f>AJ424</f>
        <v>0</v>
      </c>
      <c r="AK425" s="130"/>
      <c r="AL425" s="133" t="e">
        <f>AL424</f>
        <v>#DIV/0!</v>
      </c>
      <c r="AM425" s="134">
        <f>AF425</f>
        <v>1197.5987232142857</v>
      </c>
      <c r="AN425" s="134"/>
      <c r="AO425" s="134"/>
      <c r="AP425" s="130">
        <f>AP424</f>
        <v>1197.5987232142857</v>
      </c>
      <c r="AQ425" s="130">
        <f t="shared" si="220"/>
        <v>1341.3105700000001</v>
      </c>
      <c r="AR425" s="130"/>
      <c r="AS425" s="130"/>
      <c r="AT425" s="130"/>
      <c r="AU425" s="130"/>
      <c r="AV425" s="130"/>
      <c r="AW425" s="130"/>
      <c r="AX425" s="130"/>
      <c r="AY425" s="130"/>
      <c r="AZ425" s="123"/>
      <c r="BA425" s="130"/>
      <c r="BB425" s="130"/>
      <c r="BC425" s="130"/>
      <c r="BD425" s="130"/>
      <c r="BE425" s="130"/>
      <c r="BF425" s="130"/>
      <c r="BG425" s="31"/>
      <c r="BH425" s="31"/>
      <c r="BI425" s="31"/>
      <c r="BJ425" s="31"/>
      <c r="BK425" s="31"/>
      <c r="BL425" s="31"/>
      <c r="BM425" s="31"/>
      <c r="BN425" s="31"/>
      <c r="BQ425" s="461"/>
      <c r="BR425" s="461"/>
      <c r="BS425" s="31"/>
    </row>
    <row r="426" spans="1:71" ht="17.25" customHeight="1" x14ac:dyDescent="0.35">
      <c r="A426" s="453"/>
      <c r="B426" s="454"/>
      <c r="C426" s="217" t="s">
        <v>72</v>
      </c>
      <c r="D426" s="217" t="s">
        <v>73</v>
      </c>
      <c r="E426" s="218"/>
      <c r="F426" s="218">
        <f t="shared" si="216"/>
        <v>0</v>
      </c>
      <c r="G426" s="474"/>
      <c r="H426" s="475"/>
      <c r="I426" s="219"/>
      <c r="J426" s="219">
        <f t="shared" si="217"/>
        <v>0</v>
      </c>
      <c r="K426" s="463" t="s">
        <v>177</v>
      </c>
      <c r="L426" s="477" t="s">
        <v>188</v>
      </c>
      <c r="M426" s="467" t="s">
        <v>113</v>
      </c>
      <c r="N426" s="220">
        <f t="shared" si="218"/>
        <v>111645759.11607142</v>
      </c>
      <c r="O426" s="220">
        <f t="shared" si="218"/>
        <v>125043250.20999999</v>
      </c>
      <c r="P426" s="220">
        <f t="shared" si="219"/>
        <v>111645759.11607142</v>
      </c>
      <c r="Q426" s="259">
        <v>125043250.20999999</v>
      </c>
      <c r="R426" s="436" t="s">
        <v>125</v>
      </c>
      <c r="S426" s="471">
        <v>42</v>
      </c>
      <c r="T426" s="221"/>
      <c r="U426" s="221"/>
      <c r="V426" s="221"/>
      <c r="W426" s="221">
        <v>116434</v>
      </c>
      <c r="X426" s="222">
        <f t="shared" si="223"/>
        <v>130406.08000000002</v>
      </c>
      <c r="Y426" s="221">
        <f>7+7+7+9+5+7</f>
        <v>42</v>
      </c>
      <c r="Z426" s="221">
        <f>T426+W426</f>
        <v>116434</v>
      </c>
      <c r="AA426" s="221">
        <f>U426+X426</f>
        <v>130406.08000000002</v>
      </c>
      <c r="AB426" s="221">
        <f>V426+Y426</f>
        <v>42</v>
      </c>
      <c r="AC426" s="221"/>
      <c r="AD426" s="221"/>
      <c r="AE426" s="221"/>
      <c r="AF426" s="221"/>
      <c r="AG426" s="222">
        <f t="shared" si="224"/>
        <v>0</v>
      </c>
      <c r="AH426" s="221"/>
      <c r="AI426" s="222"/>
      <c r="AJ426" s="222">
        <f>AI426*1.12</f>
        <v>0</v>
      </c>
      <c r="AK426" s="218"/>
      <c r="AL426" s="223" t="str">
        <f>IF($AC$402=0,"",AF426/($AC$402/$AE$402*AH426))</f>
        <v/>
      </c>
      <c r="AM426" s="224"/>
      <c r="AN426" s="224"/>
      <c r="AO426" s="224"/>
      <c r="AP426" s="222"/>
      <c r="AQ426" s="222">
        <f t="shared" si="220"/>
        <v>0</v>
      </c>
      <c r="AR426" s="222"/>
      <c r="AS426" s="222"/>
      <c r="AT426" s="222">
        <f>AF426-($AC$435/$AE$435*AH426)</f>
        <v>0</v>
      </c>
      <c r="AU426" s="222"/>
      <c r="AV426" s="222"/>
      <c r="AW426" s="222"/>
      <c r="AX426" s="222"/>
      <c r="AY426" s="222"/>
      <c r="AZ426" s="222">
        <f>$AC$435/$AE$435*AK426</f>
        <v>0</v>
      </c>
      <c r="BA426" s="222"/>
      <c r="BB426" s="222"/>
      <c r="BC426" s="222"/>
      <c r="BD426" s="222"/>
      <c r="BE426" s="222"/>
      <c r="BF426" s="222"/>
      <c r="BG426" s="226"/>
      <c r="BH426" s="226"/>
      <c r="BI426" s="226"/>
      <c r="BJ426" s="226"/>
      <c r="BK426" s="226"/>
      <c r="BL426" s="226"/>
      <c r="BM426" s="226"/>
      <c r="BN426" s="226"/>
      <c r="BO426" s="227"/>
      <c r="BP426" s="227"/>
      <c r="BQ426" s="461"/>
      <c r="BR426" s="461"/>
      <c r="BS426" s="31"/>
    </row>
    <row r="427" spans="1:71" ht="17.25" customHeight="1" x14ac:dyDescent="0.35">
      <c r="A427" s="453"/>
      <c r="B427" s="454"/>
      <c r="C427" s="122" t="s">
        <v>74</v>
      </c>
      <c r="D427" s="122" t="s">
        <v>75</v>
      </c>
      <c r="E427" s="185"/>
      <c r="F427" s="185">
        <f t="shared" si="216"/>
        <v>0</v>
      </c>
      <c r="G427" s="474"/>
      <c r="H427" s="475"/>
      <c r="I427" s="189"/>
      <c r="J427" s="189">
        <f t="shared" si="217"/>
        <v>0</v>
      </c>
      <c r="K427" s="463"/>
      <c r="L427" s="478"/>
      <c r="M427" s="468"/>
      <c r="N427" s="132">
        <f t="shared" si="218"/>
        <v>111645759.11607142</v>
      </c>
      <c r="O427" s="132">
        <f t="shared" si="218"/>
        <v>125043250.20999999</v>
      </c>
      <c r="P427" s="125">
        <f t="shared" si="219"/>
        <v>111645759.11607142</v>
      </c>
      <c r="Q427" s="139">
        <f>Q426</f>
        <v>125043250.20999999</v>
      </c>
      <c r="R427" s="470"/>
      <c r="S427" s="472"/>
      <c r="T427" s="124"/>
      <c r="U427" s="124"/>
      <c r="V427" s="124"/>
      <c r="W427" s="124">
        <f>W428</f>
        <v>57406.530651785703</v>
      </c>
      <c r="X427" s="123">
        <f t="shared" si="223"/>
        <v>64295.314329999994</v>
      </c>
      <c r="Y427" s="124"/>
      <c r="Z427" s="124">
        <f>W427+T427</f>
        <v>57406.530651785703</v>
      </c>
      <c r="AA427" s="124">
        <f>X427+U427</f>
        <v>64295.314329999994</v>
      </c>
      <c r="AB427" s="124"/>
      <c r="AC427" s="124"/>
      <c r="AD427" s="124"/>
      <c r="AE427" s="124"/>
      <c r="AF427" s="124">
        <f>AF428</f>
        <v>27579.92027678571</v>
      </c>
      <c r="AG427" s="123">
        <f t="shared" si="224"/>
        <v>30889.510709999999</v>
      </c>
      <c r="AH427" s="124"/>
      <c r="AI427" s="123"/>
      <c r="AJ427" s="123">
        <f>AI427*1.12</f>
        <v>0</v>
      </c>
      <c r="AK427" s="123"/>
      <c r="AL427" s="126" t="e">
        <f>IF($AC$436=0,"",AF427/($AC$436/$AE$435*AH426))</f>
        <v>#DIV/0!</v>
      </c>
      <c r="AM427" s="127">
        <f>AF427</f>
        <v>27579.92027678571</v>
      </c>
      <c r="AN427" s="127"/>
      <c r="AO427" s="127"/>
      <c r="AP427" s="123">
        <f>AF427</f>
        <v>27579.92027678571</v>
      </c>
      <c r="AQ427" s="123">
        <f t="shared" si="220"/>
        <v>30889.510709999999</v>
      </c>
      <c r="AR427" s="123"/>
      <c r="AS427" s="123"/>
      <c r="AT427" s="123"/>
      <c r="AU427" s="123"/>
      <c r="AV427" s="123"/>
      <c r="AW427" s="123"/>
      <c r="AX427" s="123"/>
      <c r="AY427" s="123"/>
      <c r="AZ427" s="123"/>
      <c r="BA427" s="123"/>
      <c r="BB427" s="123"/>
      <c r="BC427" s="123"/>
      <c r="BD427" s="123"/>
      <c r="BE427" s="123"/>
      <c r="BF427" s="123"/>
      <c r="BG427" s="106"/>
      <c r="BH427" s="106"/>
      <c r="BI427" s="106"/>
      <c r="BJ427" s="106"/>
      <c r="BK427" s="106"/>
      <c r="BL427" s="106"/>
      <c r="BM427" s="106"/>
      <c r="BN427" s="106"/>
      <c r="BO427" s="103"/>
      <c r="BP427" s="103"/>
      <c r="BQ427" s="461"/>
      <c r="BR427" s="461"/>
      <c r="BS427" s="31"/>
    </row>
    <row r="428" spans="1:71" ht="17.25" customHeight="1" x14ac:dyDescent="0.35">
      <c r="A428" s="453"/>
      <c r="B428" s="454"/>
      <c r="C428" s="129" t="s">
        <v>74</v>
      </c>
      <c r="D428" s="129" t="s">
        <v>76</v>
      </c>
      <c r="E428" s="187"/>
      <c r="F428" s="187">
        <f t="shared" si="216"/>
        <v>0</v>
      </c>
      <c r="G428" s="474"/>
      <c r="H428" s="475"/>
      <c r="I428" s="191"/>
      <c r="J428" s="191">
        <f t="shared" si="217"/>
        <v>0</v>
      </c>
      <c r="K428" s="463"/>
      <c r="L428" s="479"/>
      <c r="M428" s="469"/>
      <c r="N428" s="132">
        <f t="shared" si="218"/>
        <v>111645759.11607142</v>
      </c>
      <c r="O428" s="132">
        <f t="shared" si="218"/>
        <v>125043250.20999999</v>
      </c>
      <c r="P428" s="132">
        <f t="shared" si="219"/>
        <v>111645759.11607142</v>
      </c>
      <c r="Q428" s="250">
        <f>Q427</f>
        <v>125043250.20999999</v>
      </c>
      <c r="R428" s="437"/>
      <c r="S428" s="473"/>
      <c r="T428" s="131"/>
      <c r="U428" s="131"/>
      <c r="V428" s="131"/>
      <c r="W428" s="131">
        <f>14205.51779/1.12+10534.38072/1.12+18271.34689/1.12+21284.06893/1.12</f>
        <v>57406.530651785703</v>
      </c>
      <c r="X428" s="130">
        <f t="shared" si="223"/>
        <v>64295.314329999994</v>
      </c>
      <c r="Y428" s="131"/>
      <c r="Z428" s="131">
        <f>W428+T428</f>
        <v>57406.530651785703</v>
      </c>
      <c r="AA428" s="131">
        <f>X428+U428</f>
        <v>64295.314329999994</v>
      </c>
      <c r="AB428" s="131"/>
      <c r="AC428" s="131"/>
      <c r="AD428" s="131"/>
      <c r="AE428" s="131"/>
      <c r="AF428" s="131">
        <f>17595.27884/1.12+13294.23187/1.12</f>
        <v>27579.92027678571</v>
      </c>
      <c r="AG428" s="192">
        <f t="shared" si="224"/>
        <v>30889.510709999999</v>
      </c>
      <c r="AH428" s="131"/>
      <c r="AI428" s="130">
        <f>AI427</f>
        <v>0</v>
      </c>
      <c r="AJ428" s="130">
        <f>AJ427</f>
        <v>0</v>
      </c>
      <c r="AK428" s="130"/>
      <c r="AL428" s="133" t="e">
        <f>AL427</f>
        <v>#DIV/0!</v>
      </c>
      <c r="AM428" s="134">
        <f>AF428</f>
        <v>27579.92027678571</v>
      </c>
      <c r="AN428" s="134"/>
      <c r="AO428" s="134"/>
      <c r="AP428" s="130">
        <f>AP427</f>
        <v>27579.92027678571</v>
      </c>
      <c r="AQ428" s="130">
        <f t="shared" si="220"/>
        <v>30889.510709999999</v>
      </c>
      <c r="AR428" s="130"/>
      <c r="AS428" s="130"/>
      <c r="AT428" s="130"/>
      <c r="AU428" s="130"/>
      <c r="AV428" s="130"/>
      <c r="AW428" s="130"/>
      <c r="AX428" s="130"/>
      <c r="AY428" s="130"/>
      <c r="AZ428" s="123"/>
      <c r="BA428" s="130"/>
      <c r="BB428" s="130"/>
      <c r="BC428" s="130"/>
      <c r="BD428" s="130"/>
      <c r="BE428" s="130"/>
      <c r="BF428" s="130"/>
      <c r="BG428" s="31"/>
      <c r="BH428" s="31"/>
      <c r="BI428" s="31"/>
      <c r="BJ428" s="31"/>
      <c r="BK428" s="31"/>
      <c r="BL428" s="31"/>
      <c r="BM428" s="31"/>
      <c r="BN428" s="31"/>
      <c r="BQ428" s="461"/>
      <c r="BR428" s="461"/>
      <c r="BS428" s="31"/>
    </row>
    <row r="429" spans="1:71" ht="17.25" customHeight="1" x14ac:dyDescent="0.35">
      <c r="A429" s="453"/>
      <c r="B429" s="454"/>
      <c r="C429" s="217" t="s">
        <v>72</v>
      </c>
      <c r="D429" s="217" t="s">
        <v>73</v>
      </c>
      <c r="E429" s="218"/>
      <c r="F429" s="218">
        <f t="shared" si="216"/>
        <v>0</v>
      </c>
      <c r="G429" s="474"/>
      <c r="H429" s="475"/>
      <c r="I429" s="219"/>
      <c r="J429" s="219">
        <f t="shared" si="217"/>
        <v>0</v>
      </c>
      <c r="K429" s="463" t="s">
        <v>131</v>
      </c>
      <c r="L429" s="477" t="s">
        <v>189</v>
      </c>
      <c r="M429" s="467" t="s">
        <v>113</v>
      </c>
      <c r="N429" s="220">
        <f t="shared" si="218"/>
        <v>74430506.080357134</v>
      </c>
      <c r="O429" s="220">
        <f>Q429</f>
        <v>83362166.810000002</v>
      </c>
      <c r="P429" s="220">
        <f t="shared" si="219"/>
        <v>74430506.080357134</v>
      </c>
      <c r="Q429" s="259">
        <v>83362166.810000002</v>
      </c>
      <c r="R429" s="436" t="s">
        <v>125</v>
      </c>
      <c r="S429" s="471">
        <v>28</v>
      </c>
      <c r="T429" s="221"/>
      <c r="U429" s="221"/>
      <c r="V429" s="221"/>
      <c r="W429" s="221">
        <v>105408</v>
      </c>
      <c r="X429" s="222">
        <f t="shared" si="223"/>
        <v>118056.96000000001</v>
      </c>
      <c r="Y429" s="221">
        <f>5+6+6+4+2+2+3</f>
        <v>28</v>
      </c>
      <c r="Z429" s="221">
        <f>T429+W429</f>
        <v>105408</v>
      </c>
      <c r="AA429" s="221">
        <f>U429+X429</f>
        <v>118056.96000000001</v>
      </c>
      <c r="AB429" s="221">
        <f>V429+Y429</f>
        <v>28</v>
      </c>
      <c r="AC429" s="221"/>
      <c r="AD429" s="221"/>
      <c r="AE429" s="221"/>
      <c r="AF429" s="221"/>
      <c r="AG429" s="222">
        <f t="shared" si="224"/>
        <v>0</v>
      </c>
      <c r="AH429" s="221"/>
      <c r="AI429" s="222"/>
      <c r="AJ429" s="222">
        <f>AI429*1.12</f>
        <v>0</v>
      </c>
      <c r="AK429" s="218"/>
      <c r="AL429" s="223" t="str">
        <f>IF($AC$402=0,"",AF429/($AC$402/$AE$402*AH429))</f>
        <v/>
      </c>
      <c r="AM429" s="224"/>
      <c r="AN429" s="224"/>
      <c r="AO429" s="224"/>
      <c r="AP429" s="222"/>
      <c r="AQ429" s="222">
        <f t="shared" si="220"/>
        <v>0</v>
      </c>
      <c r="AR429" s="222"/>
      <c r="AS429" s="222"/>
      <c r="AT429" s="222">
        <f>AF429-($AC$435/$AE$435*AH429)</f>
        <v>0</v>
      </c>
      <c r="AU429" s="222"/>
      <c r="AV429" s="222"/>
      <c r="AW429" s="222"/>
      <c r="AX429" s="222"/>
      <c r="AY429" s="222"/>
      <c r="AZ429" s="222">
        <f>$AC$435/$AE$435*AK429</f>
        <v>0</v>
      </c>
      <c r="BA429" s="222"/>
      <c r="BB429" s="222"/>
      <c r="BC429" s="222"/>
      <c r="BD429" s="222"/>
      <c r="BE429" s="222"/>
      <c r="BF429" s="222"/>
      <c r="BG429" s="226"/>
      <c r="BH429" s="226"/>
      <c r="BI429" s="226"/>
      <c r="BJ429" s="226"/>
      <c r="BK429" s="226"/>
      <c r="BL429" s="226"/>
      <c r="BM429" s="226"/>
      <c r="BN429" s="226"/>
      <c r="BO429" s="227"/>
      <c r="BP429" s="227"/>
      <c r="BQ429" s="461"/>
      <c r="BR429" s="461"/>
      <c r="BS429" s="31"/>
    </row>
    <row r="430" spans="1:71" ht="17.25" customHeight="1" x14ac:dyDescent="0.35">
      <c r="A430" s="453"/>
      <c r="B430" s="454"/>
      <c r="C430" s="122" t="s">
        <v>74</v>
      </c>
      <c r="D430" s="122" t="s">
        <v>75</v>
      </c>
      <c r="E430" s="185"/>
      <c r="F430" s="185">
        <f t="shared" si="216"/>
        <v>0</v>
      </c>
      <c r="G430" s="474"/>
      <c r="H430" s="475"/>
      <c r="I430" s="189"/>
      <c r="J430" s="189">
        <f t="shared" si="217"/>
        <v>0</v>
      </c>
      <c r="K430" s="463"/>
      <c r="L430" s="478"/>
      <c r="M430" s="468"/>
      <c r="N430" s="132">
        <f t="shared" si="218"/>
        <v>74430506.080357134</v>
      </c>
      <c r="O430" s="132">
        <f t="shared" si="218"/>
        <v>83362166.810000002</v>
      </c>
      <c r="P430" s="125">
        <f t="shared" si="219"/>
        <v>74430506.080357134</v>
      </c>
      <c r="Q430" s="139">
        <f>Q429</f>
        <v>83362166.810000002</v>
      </c>
      <c r="R430" s="470"/>
      <c r="S430" s="472"/>
      <c r="T430" s="124"/>
      <c r="U430" s="124"/>
      <c r="V430" s="124"/>
      <c r="W430" s="124">
        <f>W431</f>
        <v>46219.427508928566</v>
      </c>
      <c r="X430" s="123">
        <f t="shared" si="223"/>
        <v>51765.758809999999</v>
      </c>
      <c r="Y430" s="124"/>
      <c r="Z430" s="124">
        <f>W430+T430</f>
        <v>46219.427508928566</v>
      </c>
      <c r="AA430" s="124">
        <f>X430+U430</f>
        <v>51765.758809999999</v>
      </c>
      <c r="AB430" s="124"/>
      <c r="AC430" s="124"/>
      <c r="AD430" s="124"/>
      <c r="AE430" s="124"/>
      <c r="AF430" s="124">
        <f>AF431</f>
        <v>7156.18</v>
      </c>
      <c r="AG430" s="123">
        <f t="shared" si="224"/>
        <v>8014.9216000000015</v>
      </c>
      <c r="AH430" s="124"/>
      <c r="AI430" s="123"/>
      <c r="AJ430" s="123">
        <f>AI430*1.12</f>
        <v>0</v>
      </c>
      <c r="AK430" s="123"/>
      <c r="AL430" s="126" t="e">
        <f>IF($AC$436=0,"",AF430/($AC$436/$AE$435*AH429))</f>
        <v>#DIV/0!</v>
      </c>
      <c r="AM430" s="127">
        <f>AF430</f>
        <v>7156.18</v>
      </c>
      <c r="AN430" s="127"/>
      <c r="AO430" s="127"/>
      <c r="AP430" s="123">
        <f>AF430</f>
        <v>7156.18</v>
      </c>
      <c r="AQ430" s="123">
        <f t="shared" si="220"/>
        <v>8014.9216000000015</v>
      </c>
      <c r="AR430" s="123"/>
      <c r="AS430" s="123"/>
      <c r="AT430" s="123"/>
      <c r="AU430" s="123"/>
      <c r="AV430" s="123"/>
      <c r="AW430" s="123"/>
      <c r="AX430" s="123"/>
      <c r="AY430" s="123"/>
      <c r="AZ430" s="123"/>
      <c r="BA430" s="123"/>
      <c r="BB430" s="123"/>
      <c r="BC430" s="123"/>
      <c r="BD430" s="123"/>
      <c r="BE430" s="123"/>
      <c r="BF430" s="123"/>
      <c r="BG430" s="106"/>
      <c r="BH430" s="106"/>
      <c r="BI430" s="106"/>
      <c r="BJ430" s="106"/>
      <c r="BK430" s="106"/>
      <c r="BL430" s="106"/>
      <c r="BM430" s="106"/>
      <c r="BN430" s="106"/>
      <c r="BO430" s="103"/>
      <c r="BP430" s="103"/>
      <c r="BQ430" s="461"/>
      <c r="BR430" s="461"/>
      <c r="BS430" s="31"/>
    </row>
    <row r="431" spans="1:71" ht="17.25" customHeight="1" x14ac:dyDescent="0.35">
      <c r="A431" s="453"/>
      <c r="B431" s="454"/>
      <c r="C431" s="129" t="s">
        <v>74</v>
      </c>
      <c r="D431" s="129" t="s">
        <v>76</v>
      </c>
      <c r="E431" s="187"/>
      <c r="F431" s="187">
        <f t="shared" si="216"/>
        <v>0</v>
      </c>
      <c r="G431" s="474"/>
      <c r="H431" s="475"/>
      <c r="I431" s="191"/>
      <c r="J431" s="191">
        <f t="shared" si="217"/>
        <v>0</v>
      </c>
      <c r="K431" s="463"/>
      <c r="L431" s="479"/>
      <c r="M431" s="469"/>
      <c r="N431" s="132">
        <f t="shared" si="218"/>
        <v>74430506.080357134</v>
      </c>
      <c r="O431" s="132">
        <f t="shared" si="218"/>
        <v>83362166.810000002</v>
      </c>
      <c r="P431" s="132">
        <f t="shared" si="219"/>
        <v>74430506.080357134</v>
      </c>
      <c r="Q431" s="250">
        <f>Q430</f>
        <v>83362166.810000002</v>
      </c>
      <c r="R431" s="437"/>
      <c r="S431" s="473"/>
      <c r="T431" s="131"/>
      <c r="U431" s="131"/>
      <c r="V431" s="131"/>
      <c r="W431" s="131">
        <f>8089.61771/1.12+20348.29902/1.12+9712.48292/1.12+13615.35916/1.12</f>
        <v>46219.427508928566</v>
      </c>
      <c r="X431" s="130">
        <f t="shared" si="223"/>
        <v>51765.758809999999</v>
      </c>
      <c r="Y431" s="131"/>
      <c r="Z431" s="131">
        <f>W431+T431</f>
        <v>46219.427508928566</v>
      </c>
      <c r="AA431" s="131">
        <f>X431+U431</f>
        <v>51765.758809999999</v>
      </c>
      <c r="AB431" s="131"/>
      <c r="AC431" s="131"/>
      <c r="AD431" s="131"/>
      <c r="AE431" s="131"/>
      <c r="AF431" s="131">
        <f>3856.81939/1.12+4158.10221/1.12</f>
        <v>7156.18</v>
      </c>
      <c r="AG431" s="192">
        <f t="shared" si="224"/>
        <v>8014.9216000000015</v>
      </c>
      <c r="AH431" s="131"/>
      <c r="AI431" s="130">
        <f>AI430</f>
        <v>0</v>
      </c>
      <c r="AJ431" s="130">
        <f>AJ430</f>
        <v>0</v>
      </c>
      <c r="AK431" s="130"/>
      <c r="AL431" s="133" t="e">
        <f>AL430</f>
        <v>#DIV/0!</v>
      </c>
      <c r="AM431" s="134">
        <f>AF431</f>
        <v>7156.18</v>
      </c>
      <c r="AN431" s="134"/>
      <c r="AO431" s="134"/>
      <c r="AP431" s="130">
        <f>AP430</f>
        <v>7156.18</v>
      </c>
      <c r="AQ431" s="130">
        <f t="shared" si="220"/>
        <v>8014.9216000000015</v>
      </c>
      <c r="AR431" s="130"/>
      <c r="AS431" s="130"/>
      <c r="AT431" s="130"/>
      <c r="AU431" s="130"/>
      <c r="AV431" s="130"/>
      <c r="AW431" s="130"/>
      <c r="AX431" s="130"/>
      <c r="AY431" s="130"/>
      <c r="AZ431" s="123"/>
      <c r="BA431" s="130"/>
      <c r="BB431" s="130"/>
      <c r="BC431" s="130"/>
      <c r="BD431" s="130"/>
      <c r="BE431" s="130"/>
      <c r="BF431" s="130"/>
      <c r="BG431" s="31"/>
      <c r="BH431" s="31"/>
      <c r="BI431" s="31"/>
      <c r="BJ431" s="31"/>
      <c r="BK431" s="31"/>
      <c r="BL431" s="31"/>
      <c r="BM431" s="31"/>
      <c r="BN431" s="31"/>
      <c r="BQ431" s="461"/>
      <c r="BR431" s="461"/>
      <c r="BS431" s="31"/>
    </row>
    <row r="432" spans="1:71" ht="17.25" customHeight="1" x14ac:dyDescent="0.35">
      <c r="A432" s="453"/>
      <c r="B432" s="454"/>
      <c r="C432" s="217" t="s">
        <v>72</v>
      </c>
      <c r="D432" s="217" t="s">
        <v>73</v>
      </c>
      <c r="E432" s="218"/>
      <c r="F432" s="218">
        <f t="shared" si="216"/>
        <v>0</v>
      </c>
      <c r="G432" s="474"/>
      <c r="H432" s="475"/>
      <c r="I432" s="219"/>
      <c r="J432" s="219">
        <f t="shared" si="217"/>
        <v>0</v>
      </c>
      <c r="K432" s="463" t="s">
        <v>182</v>
      </c>
      <c r="L432" s="464" t="s">
        <v>190</v>
      </c>
      <c r="M432" s="467" t="s">
        <v>113</v>
      </c>
      <c r="N432" s="220">
        <f t="shared" si="218"/>
        <v>61139344.276785709</v>
      </c>
      <c r="O432" s="220">
        <f>Q432</f>
        <v>68476065.590000004</v>
      </c>
      <c r="P432" s="220">
        <f t="shared" si="219"/>
        <v>61139344.276785709</v>
      </c>
      <c r="Q432" s="259">
        <v>68476065.590000004</v>
      </c>
      <c r="R432" s="436" t="s">
        <v>125</v>
      </c>
      <c r="S432" s="471">
        <v>23</v>
      </c>
      <c r="T432" s="221"/>
      <c r="U432" s="221"/>
      <c r="V432" s="221"/>
      <c r="W432" s="221">
        <f>119078-1+1</f>
        <v>119078</v>
      </c>
      <c r="X432" s="222">
        <f t="shared" si="223"/>
        <v>133367.36000000002</v>
      </c>
      <c r="Y432" s="221">
        <f>3+2+4+6+1+7</f>
        <v>23</v>
      </c>
      <c r="Z432" s="221">
        <f>T432+W432</f>
        <v>119078</v>
      </c>
      <c r="AA432" s="221">
        <f>U432+X432</f>
        <v>133367.36000000002</v>
      </c>
      <c r="AB432" s="221">
        <f>V432+Y432</f>
        <v>23</v>
      </c>
      <c r="AC432" s="221"/>
      <c r="AD432" s="221"/>
      <c r="AE432" s="221"/>
      <c r="AF432" s="221"/>
      <c r="AG432" s="222">
        <f t="shared" si="224"/>
        <v>0</v>
      </c>
      <c r="AH432" s="221"/>
      <c r="AI432" s="222"/>
      <c r="AJ432" s="222">
        <f>AI432*1.12</f>
        <v>0</v>
      </c>
      <c r="AK432" s="218"/>
      <c r="AL432" s="223" t="str">
        <f>IF($AC$402=0,"",AF432/($AC$402/$AE$402*AH432))</f>
        <v/>
      </c>
      <c r="AM432" s="224"/>
      <c r="AN432" s="224"/>
      <c r="AO432" s="224"/>
      <c r="AP432" s="222"/>
      <c r="AQ432" s="222">
        <f t="shared" si="220"/>
        <v>0</v>
      </c>
      <c r="AR432" s="222"/>
      <c r="AS432" s="222"/>
      <c r="AT432" s="222">
        <f>AF432-($AC$435/$AE$435*AH432)</f>
        <v>0</v>
      </c>
      <c r="AU432" s="222"/>
      <c r="AV432" s="222"/>
      <c r="AW432" s="222"/>
      <c r="AX432" s="222"/>
      <c r="AY432" s="222"/>
      <c r="AZ432" s="222"/>
      <c r="BA432" s="222"/>
      <c r="BB432" s="222"/>
      <c r="BC432" s="222"/>
      <c r="BD432" s="222"/>
      <c r="BE432" s="222"/>
      <c r="BF432" s="222">
        <f>$AC$435/$AE$435*AK432</f>
        <v>0</v>
      </c>
      <c r="BG432" s="226"/>
      <c r="BH432" s="226"/>
      <c r="BI432" s="226"/>
      <c r="BJ432" s="226"/>
      <c r="BK432" s="226"/>
      <c r="BL432" s="226"/>
      <c r="BM432" s="226"/>
      <c r="BN432" s="226"/>
      <c r="BO432" s="227"/>
      <c r="BP432" s="227"/>
      <c r="BQ432" s="461"/>
      <c r="BR432" s="461"/>
      <c r="BS432" s="31"/>
    </row>
    <row r="433" spans="1:71" ht="17.25" customHeight="1" x14ac:dyDescent="0.35">
      <c r="A433" s="453"/>
      <c r="B433" s="454"/>
      <c r="C433" s="122" t="s">
        <v>74</v>
      </c>
      <c r="D433" s="122" t="s">
        <v>75</v>
      </c>
      <c r="E433" s="185"/>
      <c r="F433" s="185">
        <f t="shared" si="216"/>
        <v>0</v>
      </c>
      <c r="G433" s="474"/>
      <c r="H433" s="475"/>
      <c r="I433" s="189"/>
      <c r="J433" s="189">
        <f t="shared" si="217"/>
        <v>0</v>
      </c>
      <c r="K433" s="463"/>
      <c r="L433" s="465"/>
      <c r="M433" s="468"/>
      <c r="N433" s="132">
        <f t="shared" ref="N433:Q434" si="225">N432</f>
        <v>61139344.276785709</v>
      </c>
      <c r="O433" s="132">
        <f t="shared" si="225"/>
        <v>68476065.590000004</v>
      </c>
      <c r="P433" s="125">
        <f t="shared" si="225"/>
        <v>61139344.276785709</v>
      </c>
      <c r="Q433" s="139">
        <f t="shared" si="225"/>
        <v>68476065.590000004</v>
      </c>
      <c r="R433" s="470"/>
      <c r="S433" s="472"/>
      <c r="T433" s="124"/>
      <c r="U433" s="124"/>
      <c r="V433" s="124"/>
      <c r="W433" s="124">
        <f>W434</f>
        <v>31154.233107142856</v>
      </c>
      <c r="X433" s="185">
        <f>W433*1.12</f>
        <v>34892.74108</v>
      </c>
      <c r="Y433" s="124"/>
      <c r="Z433" s="124">
        <f>W433+T433</f>
        <v>31154.233107142856</v>
      </c>
      <c r="AA433" s="124">
        <f>X433+U433</f>
        <v>34892.74108</v>
      </c>
      <c r="AB433" s="124"/>
      <c r="AC433" s="124"/>
      <c r="AD433" s="124"/>
      <c r="AE433" s="124"/>
      <c r="AF433" s="124">
        <f>AF434</f>
        <v>21694.302866071423</v>
      </c>
      <c r="AG433" s="185">
        <f>AF433*1.12</f>
        <v>24297.619209999997</v>
      </c>
      <c r="AH433" s="124"/>
      <c r="AI433" s="123"/>
      <c r="AJ433" s="123">
        <f>AI433*1.12</f>
        <v>0</v>
      </c>
      <c r="AK433" s="123"/>
      <c r="AL433" s="126" t="e">
        <f>IF($AC$436=0,"",AF433/($AC$436/$AE$435*AH432))</f>
        <v>#DIV/0!</v>
      </c>
      <c r="AM433" s="127">
        <f>AF433</f>
        <v>21694.302866071423</v>
      </c>
      <c r="AN433" s="127"/>
      <c r="AO433" s="127"/>
      <c r="AP433" s="123">
        <f>AF433</f>
        <v>21694.302866071423</v>
      </c>
      <c r="AQ433" s="123">
        <f t="shared" si="220"/>
        <v>24297.619209999997</v>
      </c>
      <c r="AR433" s="123"/>
      <c r="AS433" s="123"/>
      <c r="AT433" s="123"/>
      <c r="AU433" s="123"/>
      <c r="AV433" s="123"/>
      <c r="AW433" s="123"/>
      <c r="AX433" s="123"/>
      <c r="AY433" s="123"/>
      <c r="AZ433" s="123"/>
      <c r="BA433" s="123"/>
      <c r="BB433" s="123"/>
      <c r="BC433" s="123"/>
      <c r="BD433" s="123"/>
      <c r="BE433" s="123"/>
      <c r="BF433" s="123"/>
      <c r="BG433" s="106"/>
      <c r="BH433" s="106"/>
      <c r="BI433" s="106"/>
      <c r="BJ433" s="106"/>
      <c r="BK433" s="106"/>
      <c r="BL433" s="106"/>
      <c r="BM433" s="106"/>
      <c r="BN433" s="106"/>
      <c r="BO433" s="103"/>
      <c r="BP433" s="103"/>
      <c r="BQ433" s="461"/>
      <c r="BR433" s="461"/>
      <c r="BS433" s="31"/>
    </row>
    <row r="434" spans="1:71" ht="17.25" customHeight="1" x14ac:dyDescent="0.35">
      <c r="A434" s="453"/>
      <c r="B434" s="454"/>
      <c r="C434" s="129" t="s">
        <v>74</v>
      </c>
      <c r="D434" s="129" t="s">
        <v>76</v>
      </c>
      <c r="E434" s="187"/>
      <c r="F434" s="187">
        <f t="shared" si="216"/>
        <v>0</v>
      </c>
      <c r="G434" s="474"/>
      <c r="H434" s="475"/>
      <c r="I434" s="191"/>
      <c r="J434" s="191">
        <f t="shared" si="217"/>
        <v>0</v>
      </c>
      <c r="K434" s="463"/>
      <c r="L434" s="466"/>
      <c r="M434" s="469"/>
      <c r="N434" s="132">
        <f t="shared" si="225"/>
        <v>61139344.276785709</v>
      </c>
      <c r="O434" s="132">
        <f t="shared" si="225"/>
        <v>68476065.590000004</v>
      </c>
      <c r="P434" s="132">
        <f t="shared" si="225"/>
        <v>61139344.276785709</v>
      </c>
      <c r="Q434" s="250">
        <f t="shared" si="225"/>
        <v>68476065.590000004</v>
      </c>
      <c r="R434" s="437"/>
      <c r="S434" s="473"/>
      <c r="T434" s="131"/>
      <c r="U434" s="131"/>
      <c r="V434" s="131"/>
      <c r="W434" s="131">
        <f>8163.42327/1.12+4460.9357/1.12+8189.79347/1.12+14078.58864/1.12</f>
        <v>31154.233107142856</v>
      </c>
      <c r="X434" s="187">
        <f>W434*1.12</f>
        <v>34892.74108</v>
      </c>
      <c r="Y434" s="131"/>
      <c r="Z434" s="131">
        <f>W434+T434</f>
        <v>31154.233107142856</v>
      </c>
      <c r="AA434" s="131">
        <f>X434+U434</f>
        <v>34892.74108</v>
      </c>
      <c r="AB434" s="131"/>
      <c r="AC434" s="131"/>
      <c r="AD434" s="131"/>
      <c r="AE434" s="131"/>
      <c r="AF434" s="131">
        <f>3224.11154/1.12+21073.50767/1.12</f>
        <v>21694.302866071423</v>
      </c>
      <c r="AG434" s="266">
        <f>AF434*1.12</f>
        <v>24297.619209999997</v>
      </c>
      <c r="AH434" s="131"/>
      <c r="AI434" s="130">
        <f>AI433</f>
        <v>0</v>
      </c>
      <c r="AJ434" s="130">
        <f>AJ433</f>
        <v>0</v>
      </c>
      <c r="AK434" s="130"/>
      <c r="AL434" s="133" t="e">
        <f>AL433</f>
        <v>#DIV/0!</v>
      </c>
      <c r="AM434" s="134">
        <f>AF434</f>
        <v>21694.302866071423</v>
      </c>
      <c r="AN434" s="134"/>
      <c r="AO434" s="134"/>
      <c r="AP434" s="130">
        <f>AP433</f>
        <v>21694.302866071423</v>
      </c>
      <c r="AQ434" s="130">
        <f t="shared" si="220"/>
        <v>24297.619209999997</v>
      </c>
      <c r="AR434" s="130"/>
      <c r="AS434" s="130"/>
      <c r="AT434" s="130"/>
      <c r="AU434" s="130"/>
      <c r="AV434" s="130"/>
      <c r="AW434" s="130"/>
      <c r="AX434" s="130"/>
      <c r="AY434" s="130"/>
      <c r="AZ434" s="123"/>
      <c r="BA434" s="130"/>
      <c r="BB434" s="130"/>
      <c r="BC434" s="130"/>
      <c r="BD434" s="130"/>
      <c r="BE434" s="130"/>
      <c r="BF434" s="130"/>
      <c r="BG434" s="31"/>
      <c r="BH434" s="31"/>
      <c r="BI434" s="31"/>
      <c r="BJ434" s="31"/>
      <c r="BK434" s="31"/>
      <c r="BL434" s="31"/>
      <c r="BM434" s="31"/>
      <c r="BN434" s="31"/>
      <c r="BQ434" s="461"/>
      <c r="BR434" s="461"/>
      <c r="BS434" s="31"/>
    </row>
    <row r="435" spans="1:71" s="227" customFormat="1" ht="27" customHeight="1" x14ac:dyDescent="0.35">
      <c r="A435" s="453"/>
      <c r="B435" s="454" t="s">
        <v>191</v>
      </c>
      <c r="C435" s="217" t="s">
        <v>72</v>
      </c>
      <c r="D435" s="217" t="s">
        <v>73</v>
      </c>
      <c r="E435" s="218">
        <f>I435</f>
        <v>7597368</v>
      </c>
      <c r="F435" s="218">
        <f t="shared" si="216"/>
        <v>8509052.1600000001</v>
      </c>
      <c r="G435" s="474">
        <v>2020</v>
      </c>
      <c r="H435" s="475">
        <v>854</v>
      </c>
      <c r="I435" s="219">
        <v>7597368</v>
      </c>
      <c r="J435" s="219">
        <f t="shared" si="217"/>
        <v>8509052.1600000001</v>
      </c>
      <c r="K435" s="476" t="s">
        <v>192</v>
      </c>
      <c r="L435" s="454" t="s">
        <v>167</v>
      </c>
      <c r="M435" s="459" t="s">
        <v>113</v>
      </c>
      <c r="N435" s="220">
        <f t="shared" ref="N435:O464" si="226">P435</f>
        <v>157482815000</v>
      </c>
      <c r="O435" s="220">
        <f t="shared" si="226"/>
        <v>176380752800.00003</v>
      </c>
      <c r="P435" s="267">
        <f>16483104120+8590342880+37129698060+54053799240+41225870700</f>
        <v>157482815000</v>
      </c>
      <c r="Q435" s="267">
        <f>P435*1.12</f>
        <v>176380752800.00003</v>
      </c>
      <c r="R435" s="454" t="s">
        <v>193</v>
      </c>
      <c r="S435" s="448">
        <f>1844+834+4236+6379+4903</f>
        <v>18196</v>
      </c>
      <c r="T435" s="221"/>
      <c r="U435" s="221"/>
      <c r="V435" s="221"/>
      <c r="W435" s="222"/>
      <c r="X435" s="222">
        <f>W435*1.12</f>
        <v>0</v>
      </c>
      <c r="Y435" s="222"/>
      <c r="Z435" s="221">
        <f>T435+W435</f>
        <v>0</v>
      </c>
      <c r="AA435" s="221">
        <f>U435+X435</f>
        <v>0</v>
      </c>
      <c r="AB435" s="221">
        <f>V435+Y435</f>
        <v>0</v>
      </c>
      <c r="AC435" s="221">
        <v>7563854</v>
      </c>
      <c r="AD435" s="221">
        <f>AC435*1.12</f>
        <v>8471516.4800000004</v>
      </c>
      <c r="AE435" s="221">
        <f>55+71+199+189+71+33+34+30+43+46+46+37</f>
        <v>854</v>
      </c>
      <c r="AF435" s="268">
        <f>AF438+AF441+AF444+AF447+AF450+AF453+AF456+AF459</f>
        <v>7572650.4293624973</v>
      </c>
      <c r="AG435" s="222">
        <f>AF435*1.12</f>
        <v>8481368.4808859974</v>
      </c>
      <c r="AH435" s="268">
        <f>AH438+AH441+AH444+AH447+AH450+AH453+AH456+AH459</f>
        <v>874</v>
      </c>
      <c r="AI435" s="222">
        <f>AF435-($AC$435/$AE$435*$AH$435)+($AC$435/$AE$435*AK435)</f>
        <v>8796.4293624971469</v>
      </c>
      <c r="AJ435" s="222">
        <f>AI435*1.12</f>
        <v>9852.0008859968057</v>
      </c>
      <c r="AK435" s="218">
        <f>AH435-AE435</f>
        <v>20</v>
      </c>
      <c r="AL435" s="269">
        <f>IF(AC435=0,"",AF435/AC435)</f>
        <v>1.0011629559960435</v>
      </c>
      <c r="AM435" s="224"/>
      <c r="AN435" s="224"/>
      <c r="AO435" s="224"/>
      <c r="AP435" s="222">
        <f>I435</f>
        <v>7597368</v>
      </c>
      <c r="AQ435" s="222">
        <f t="shared" si="220"/>
        <v>8509052.1600000001</v>
      </c>
      <c r="AR435" s="222">
        <v>854</v>
      </c>
      <c r="AS435" s="222"/>
      <c r="AT435" s="222"/>
      <c r="AU435" s="222"/>
      <c r="AV435" s="222"/>
      <c r="AW435" s="222"/>
      <c r="AX435" s="222"/>
      <c r="AY435" s="222"/>
      <c r="AZ435" s="222"/>
      <c r="BA435" s="222"/>
      <c r="BB435" s="222"/>
      <c r="BC435" s="222"/>
      <c r="BD435" s="222"/>
      <c r="BE435" s="222"/>
      <c r="BF435" s="222">
        <f>$AC$435/$AE$435*AK435</f>
        <v>177139.43793911007</v>
      </c>
      <c r="BG435" s="226"/>
      <c r="BH435" s="226"/>
      <c r="BI435" s="226"/>
      <c r="BJ435" s="226"/>
      <c r="BK435" s="226"/>
      <c r="BL435" s="226"/>
      <c r="BM435" s="226"/>
      <c r="BN435" s="226"/>
      <c r="BQ435" s="460">
        <f>SUM(AS435:BF467)</f>
        <v>365667.81174945895</v>
      </c>
      <c r="BR435" s="462">
        <f>BQ435-(AI435+AI438+AI441+AI444+AI447+AI450+AI453+AI456+AI459+AI462+AI465)</f>
        <v>348074.95302446466</v>
      </c>
      <c r="BS435" s="226"/>
    </row>
    <row r="436" spans="1:71" s="103" customFormat="1" ht="27" customHeight="1" x14ac:dyDescent="0.35">
      <c r="A436" s="453"/>
      <c r="B436" s="454"/>
      <c r="C436" s="122" t="s">
        <v>74</v>
      </c>
      <c r="D436" s="122" t="s">
        <v>75</v>
      </c>
      <c r="E436" s="185">
        <f>E435</f>
        <v>7597368</v>
      </c>
      <c r="F436" s="185">
        <f t="shared" si="216"/>
        <v>8509052.1600000001</v>
      </c>
      <c r="G436" s="474"/>
      <c r="H436" s="475"/>
      <c r="I436" s="189">
        <v>6612871</v>
      </c>
      <c r="J436" s="189">
        <f t="shared" si="217"/>
        <v>7406415.5200000005</v>
      </c>
      <c r="K436" s="476"/>
      <c r="L436" s="454"/>
      <c r="M436" s="459"/>
      <c r="N436" s="132">
        <f t="shared" si="226"/>
        <v>157482815000</v>
      </c>
      <c r="O436" s="132">
        <f t="shared" si="226"/>
        <v>176380752800.00003</v>
      </c>
      <c r="P436" s="125">
        <f t="shared" ref="P436:P465" si="227">Q436/1.12</f>
        <v>157482815000</v>
      </c>
      <c r="Q436" s="139">
        <f>Q435</f>
        <v>176380752800.00003</v>
      </c>
      <c r="R436" s="454"/>
      <c r="S436" s="448"/>
      <c r="T436" s="124"/>
      <c r="U436" s="124"/>
      <c r="V436" s="124"/>
      <c r="W436" s="123">
        <f>W437</f>
        <v>0</v>
      </c>
      <c r="X436" s="123">
        <f>W436*1.12</f>
        <v>0</v>
      </c>
      <c r="Y436" s="123"/>
      <c r="Z436" s="124">
        <f>W436+T436</f>
        <v>0</v>
      </c>
      <c r="AA436" s="124">
        <f>X436+U436</f>
        <v>0</v>
      </c>
      <c r="AB436" s="124"/>
      <c r="AC436" s="124">
        <v>6624996.5</v>
      </c>
      <c r="AD436" s="124">
        <f>AC436*1.12</f>
        <v>7419996.080000001</v>
      </c>
      <c r="AE436" s="124"/>
      <c r="AF436" s="124">
        <f>AF439+AF442+AF445+AF448+AF451+AF454+AF457+AF460</f>
        <v>6608558.1618928555</v>
      </c>
      <c r="AG436" s="123">
        <f>AF436*1.12</f>
        <v>7401585.1413199985</v>
      </c>
      <c r="AH436" s="124"/>
      <c r="AI436" s="123">
        <f>AF436-($AC$436/$AE$435*$AH$435)+$AC$436/$AE$435*AK435</f>
        <v>-16438.338107144315</v>
      </c>
      <c r="AJ436" s="123">
        <f>AI436*1.12</f>
        <v>-18410.938680001633</v>
      </c>
      <c r="AK436" s="123"/>
      <c r="AL436" s="126">
        <f>IF($AC$436=0,"",AF436/($AC$436/$AE$435*AH435))</f>
        <v>0.97469222431501457</v>
      </c>
      <c r="AM436" s="127"/>
      <c r="AN436" s="127">
        <f>AF436</f>
        <v>6608558.1618928555</v>
      </c>
      <c r="AO436" s="127"/>
      <c r="AP436" s="123">
        <f>AP435</f>
        <v>7597368</v>
      </c>
      <c r="AQ436" s="123">
        <f t="shared" si="220"/>
        <v>8509052.1600000001</v>
      </c>
      <c r="AR436" s="123"/>
      <c r="AS436" s="123"/>
      <c r="AT436" s="123"/>
      <c r="AU436" s="123"/>
      <c r="AV436" s="123"/>
      <c r="AW436" s="123"/>
      <c r="AX436" s="123"/>
      <c r="AY436" s="123"/>
      <c r="AZ436" s="123"/>
      <c r="BA436" s="123"/>
      <c r="BB436" s="123"/>
      <c r="BC436" s="123"/>
      <c r="BD436" s="123"/>
      <c r="BE436" s="123"/>
      <c r="BF436" s="123"/>
      <c r="BG436" s="106"/>
      <c r="BH436" s="106"/>
      <c r="BI436" s="260">
        <f>BI437</f>
        <v>11865.687809999999</v>
      </c>
      <c r="BJ436" s="260">
        <f>BJ437</f>
        <v>171406.79699999999</v>
      </c>
      <c r="BK436" s="260">
        <f>BK437</f>
        <v>38.474249999999998</v>
      </c>
      <c r="BL436" s="106"/>
      <c r="BM436" s="106"/>
      <c r="BN436" s="106"/>
      <c r="BQ436" s="461"/>
      <c r="BR436" s="461"/>
      <c r="BS436" s="106"/>
    </row>
    <row r="437" spans="1:71" ht="27" customHeight="1" x14ac:dyDescent="0.35">
      <c r="A437" s="453"/>
      <c r="B437" s="454"/>
      <c r="C437" s="129" t="s">
        <v>74</v>
      </c>
      <c r="D437" s="129" t="s">
        <v>76</v>
      </c>
      <c r="E437" s="187">
        <f>E436</f>
        <v>7597368</v>
      </c>
      <c r="F437" s="187">
        <f t="shared" si="216"/>
        <v>8509052.1600000001</v>
      </c>
      <c r="G437" s="474"/>
      <c r="H437" s="475"/>
      <c r="I437" s="191">
        <f>I436</f>
        <v>6612871</v>
      </c>
      <c r="J437" s="191">
        <f t="shared" si="217"/>
        <v>7406415.5200000005</v>
      </c>
      <c r="K437" s="476"/>
      <c r="L437" s="454"/>
      <c r="M437" s="459"/>
      <c r="N437" s="132">
        <f t="shared" si="226"/>
        <v>157482815000</v>
      </c>
      <c r="O437" s="132">
        <f t="shared" si="226"/>
        <v>176380752800.00003</v>
      </c>
      <c r="P437" s="132">
        <f t="shared" si="227"/>
        <v>157482815000</v>
      </c>
      <c r="Q437" s="250">
        <f>Q436</f>
        <v>176380752800.00003</v>
      </c>
      <c r="R437" s="454"/>
      <c r="S437" s="448"/>
      <c r="T437" s="131"/>
      <c r="U437" s="131"/>
      <c r="V437" s="131"/>
      <c r="W437" s="130"/>
      <c r="X437" s="130">
        <f t="shared" ref="X437:X467" si="228">W437*1.12</f>
        <v>0</v>
      </c>
      <c r="Y437" s="130"/>
      <c r="Z437" s="131">
        <f>W437+T437</f>
        <v>0</v>
      </c>
      <c r="AA437" s="131">
        <f>X437+U437</f>
        <v>0</v>
      </c>
      <c r="AB437" s="131"/>
      <c r="AC437" s="131">
        <f>AC436</f>
        <v>6624996.5</v>
      </c>
      <c r="AD437" s="131">
        <f>AC437*1.12</f>
        <v>7419996.080000001</v>
      </c>
      <c r="AE437" s="131"/>
      <c r="AF437" s="131">
        <f>AF436</f>
        <v>6608558.1618928555</v>
      </c>
      <c r="AG437" s="187">
        <f>AF437*1.12</f>
        <v>7401585.1413199985</v>
      </c>
      <c r="AH437" s="131"/>
      <c r="AI437" s="130">
        <f>AI436</f>
        <v>-16438.338107144315</v>
      </c>
      <c r="AJ437" s="130">
        <f>AJ436</f>
        <v>-18410.938680001633</v>
      </c>
      <c r="AK437" s="130"/>
      <c r="AL437" s="133">
        <f>AL436</f>
        <v>0.97469222431501457</v>
      </c>
      <c r="AM437" s="134"/>
      <c r="AN437" s="134">
        <f>AF437</f>
        <v>6608558.1618928555</v>
      </c>
      <c r="AO437" s="134"/>
      <c r="AP437" s="130">
        <f>AP436</f>
        <v>7597368</v>
      </c>
      <c r="AQ437" s="130">
        <f t="shared" si="220"/>
        <v>8509052.1600000001</v>
      </c>
      <c r="AR437" s="130"/>
      <c r="AS437" s="130"/>
      <c r="AT437" s="130"/>
      <c r="AU437" s="130"/>
      <c r="AV437" s="130"/>
      <c r="AW437" s="130"/>
      <c r="AX437" s="130"/>
      <c r="AY437" s="130"/>
      <c r="AZ437" s="123"/>
      <c r="BA437" s="130"/>
      <c r="BB437" s="130"/>
      <c r="BC437" s="130"/>
      <c r="BD437" s="130"/>
      <c r="BE437" s="130"/>
      <c r="BF437" s="130"/>
      <c r="BG437" s="31"/>
      <c r="BH437" s="31"/>
      <c r="BI437" s="261">
        <f>5286144.43/1000+6579543.38/1000</f>
        <v>11865.687809999999</v>
      </c>
      <c r="BJ437" s="261">
        <f>171406797/1000</f>
        <v>171406.79699999999</v>
      </c>
      <c r="BK437" s="261">
        <f>38474.25/1000</f>
        <v>38.474249999999998</v>
      </c>
      <c r="BL437" s="31"/>
      <c r="BM437" s="31"/>
      <c r="BN437" s="31"/>
      <c r="BQ437" s="461"/>
      <c r="BR437" s="461"/>
      <c r="BS437" s="31"/>
    </row>
    <row r="438" spans="1:71" s="286" customFormat="1" ht="13.5" outlineLevel="1" x14ac:dyDescent="0.35">
      <c r="A438" s="453"/>
      <c r="B438" s="454"/>
      <c r="C438" s="270" t="s">
        <v>72</v>
      </c>
      <c r="D438" s="270" t="s">
        <v>73</v>
      </c>
      <c r="E438" s="271"/>
      <c r="F438" s="271">
        <f t="shared" si="216"/>
        <v>0</v>
      </c>
      <c r="G438" s="474"/>
      <c r="H438" s="475"/>
      <c r="I438" s="272"/>
      <c r="J438" s="272">
        <f t="shared" si="217"/>
        <v>0</v>
      </c>
      <c r="K438" s="455" t="s">
        <v>194</v>
      </c>
      <c r="L438" s="455"/>
      <c r="M438" s="456" t="s">
        <v>113</v>
      </c>
      <c r="N438" s="273">
        <f t="shared" si="226"/>
        <v>0</v>
      </c>
      <c r="O438" s="273">
        <f t="shared" si="226"/>
        <v>0</v>
      </c>
      <c r="P438" s="273">
        <f t="shared" si="227"/>
        <v>0</v>
      </c>
      <c r="Q438" s="274"/>
      <c r="R438" s="457"/>
      <c r="S438" s="458"/>
      <c r="T438" s="276"/>
      <c r="U438" s="276"/>
      <c r="V438" s="276"/>
      <c r="W438" s="277"/>
      <c r="X438" s="277">
        <f t="shared" si="228"/>
        <v>0</v>
      </c>
      <c r="Y438" s="277"/>
      <c r="Z438" s="276">
        <f>T438+W438</f>
        <v>0</v>
      </c>
      <c r="AA438" s="276">
        <f>U438+X438</f>
        <v>0</v>
      </c>
      <c r="AB438" s="276">
        <f>V438+Y438</f>
        <v>0</v>
      </c>
      <c r="AC438" s="276"/>
      <c r="AD438" s="276"/>
      <c r="AE438" s="276"/>
      <c r="AF438" s="278">
        <f>2028037.87929464+908668+1322002325.8/1000+854961459.97/1000/1.12+1073661851.48/1000/1.12+1090696958/1.12/1000+492977581.73/1.12/1000-23868+17158+174989+9683</f>
        <v>7572650.4293624973</v>
      </c>
      <c r="AG438" s="277">
        <f t="shared" ref="AG438:AG447" si="229">AF438*1.12</f>
        <v>8481368.4808859974</v>
      </c>
      <c r="AH438" s="279">
        <f>53+32+34+2+20+41+75+15+97+155+110+89+92-2+39+1+1+20</f>
        <v>874</v>
      </c>
      <c r="AI438" s="277">
        <f>AF438-($AC$435/$AE$435*$AH$438)+($AC$435/$AE$435*AK438)</f>
        <v>8796.4293624971469</v>
      </c>
      <c r="AJ438" s="277">
        <f>AI438*1.12</f>
        <v>9852.0008859968057</v>
      </c>
      <c r="AK438" s="280">
        <f>AH438+AH441+AH444+AH447+AH450+AH453+AH456+AH459+AH462+AH465-AE435</f>
        <v>20</v>
      </c>
      <c r="AL438" s="281">
        <f>IF($AC$435=0,"",AF438/($AC$435/$AE$435*AH438))</f>
        <v>0.97825304853617978</v>
      </c>
      <c r="AM438" s="282"/>
      <c r="AN438" s="282"/>
      <c r="AO438" s="282"/>
      <c r="AP438" s="277">
        <f>P438/1000+AT438</f>
        <v>0</v>
      </c>
      <c r="AQ438" s="277">
        <f t="shared" si="220"/>
        <v>0</v>
      </c>
      <c r="AR438" s="277">
        <f>S438</f>
        <v>0</v>
      </c>
      <c r="AS438" s="277"/>
      <c r="AT438" s="277"/>
      <c r="AU438" s="277"/>
      <c r="AV438" s="277"/>
      <c r="AW438" s="277"/>
      <c r="AX438" s="277"/>
      <c r="AY438" s="277"/>
      <c r="AZ438" s="277"/>
      <c r="BA438" s="277"/>
      <c r="BB438" s="277">
        <v>11388.93587123882</v>
      </c>
      <c r="BC438" s="277"/>
      <c r="BD438" s="277"/>
      <c r="BE438" s="277"/>
      <c r="BF438" s="277">
        <f>$AC$435/$AE$435*AK438</f>
        <v>177139.43793911007</v>
      </c>
      <c r="BG438" s="283"/>
      <c r="BH438" s="283"/>
      <c r="BI438" s="283"/>
      <c r="BJ438" s="283"/>
      <c r="BK438" s="283"/>
      <c r="BL438" s="283"/>
      <c r="BM438" s="283"/>
      <c r="BN438" s="283"/>
      <c r="BO438" s="284"/>
      <c r="BP438" s="284"/>
      <c r="BQ438" s="461"/>
      <c r="BR438" s="461"/>
      <c r="BS438" s="285"/>
    </row>
    <row r="439" spans="1:71" s="286" customFormat="1" ht="13.5" outlineLevel="1" x14ac:dyDescent="0.35">
      <c r="A439" s="453"/>
      <c r="B439" s="454"/>
      <c r="C439" s="287" t="s">
        <v>74</v>
      </c>
      <c r="D439" s="287" t="s">
        <v>75</v>
      </c>
      <c r="E439" s="288"/>
      <c r="F439" s="288">
        <f t="shared" si="216"/>
        <v>0</v>
      </c>
      <c r="G439" s="474"/>
      <c r="H439" s="475"/>
      <c r="I439" s="289"/>
      <c r="J439" s="289">
        <f t="shared" si="217"/>
        <v>0</v>
      </c>
      <c r="K439" s="455"/>
      <c r="L439" s="455"/>
      <c r="M439" s="456"/>
      <c r="N439" s="290">
        <f t="shared" si="226"/>
        <v>0</v>
      </c>
      <c r="O439" s="290">
        <f t="shared" si="226"/>
        <v>0</v>
      </c>
      <c r="P439" s="291">
        <f t="shared" si="227"/>
        <v>0</v>
      </c>
      <c r="Q439" s="292">
        <f>Q438</f>
        <v>0</v>
      </c>
      <c r="R439" s="457"/>
      <c r="S439" s="458"/>
      <c r="T439" s="293"/>
      <c r="U439" s="293"/>
      <c r="V439" s="293"/>
      <c r="W439" s="294">
        <f>W440</f>
        <v>0</v>
      </c>
      <c r="X439" s="294">
        <f t="shared" si="228"/>
        <v>0</v>
      </c>
      <c r="Y439" s="294"/>
      <c r="Z439" s="293">
        <f>W439+T439</f>
        <v>0</v>
      </c>
      <c r="AA439" s="293">
        <f>X439+U439</f>
        <v>0</v>
      </c>
      <c r="AB439" s="293"/>
      <c r="AC439" s="293"/>
      <c r="AD439" s="293"/>
      <c r="AE439" s="293"/>
      <c r="AF439" s="293">
        <f>AF440</f>
        <v>6608558.1618928555</v>
      </c>
      <c r="AG439" s="294">
        <f t="shared" si="229"/>
        <v>7401585.1413199985</v>
      </c>
      <c r="AH439" s="293"/>
      <c r="AI439" s="294">
        <f>AF439-($AC$436/$AE$435*$AH$438)+$AC$436/$AE$435*AK438</f>
        <v>-16438.338107144315</v>
      </c>
      <c r="AJ439" s="294">
        <f>AI439*1.12</f>
        <v>-18410.938680001633</v>
      </c>
      <c r="AK439" s="294"/>
      <c r="AL439" s="295">
        <f>IF($AC$436=0,"",AF439/($AC$436/$AE$435*AH438))</f>
        <v>0.97469222431501457</v>
      </c>
      <c r="AM439" s="296"/>
      <c r="AN439" s="296">
        <f>AF439</f>
        <v>6608558.1618928555</v>
      </c>
      <c r="AO439" s="296"/>
      <c r="AP439" s="294">
        <f>AP438</f>
        <v>0</v>
      </c>
      <c r="AQ439" s="294">
        <f t="shared" si="220"/>
        <v>0</v>
      </c>
      <c r="AR439" s="294"/>
      <c r="AS439" s="294"/>
      <c r="AT439" s="294"/>
      <c r="AU439" s="294"/>
      <c r="AV439" s="294"/>
      <c r="AW439" s="294"/>
      <c r="AX439" s="294"/>
      <c r="AY439" s="294"/>
      <c r="AZ439" s="294"/>
      <c r="BA439" s="294"/>
      <c r="BB439" s="294"/>
      <c r="BC439" s="294"/>
      <c r="BD439" s="294"/>
      <c r="BE439" s="294"/>
      <c r="BF439" s="294"/>
      <c r="BG439" s="297"/>
      <c r="BH439" s="297"/>
      <c r="BI439" s="297"/>
      <c r="BJ439" s="297"/>
      <c r="BK439" s="297"/>
      <c r="BL439" s="297"/>
      <c r="BM439" s="297"/>
      <c r="BN439" s="297"/>
      <c r="BO439" s="298"/>
      <c r="BP439" s="298"/>
      <c r="BQ439" s="461"/>
      <c r="BR439" s="461"/>
      <c r="BS439" s="285"/>
    </row>
    <row r="440" spans="1:71" s="286" customFormat="1" ht="13.5" outlineLevel="1" x14ac:dyDescent="0.35">
      <c r="A440" s="453"/>
      <c r="B440" s="454"/>
      <c r="C440" s="299" t="s">
        <v>74</v>
      </c>
      <c r="D440" s="299" t="s">
        <v>76</v>
      </c>
      <c r="E440" s="300"/>
      <c r="F440" s="300">
        <f t="shared" si="216"/>
        <v>0</v>
      </c>
      <c r="G440" s="474"/>
      <c r="H440" s="475"/>
      <c r="I440" s="301"/>
      <c r="J440" s="301">
        <f t="shared" si="217"/>
        <v>0</v>
      </c>
      <c r="K440" s="455"/>
      <c r="L440" s="455"/>
      <c r="M440" s="456"/>
      <c r="N440" s="290">
        <f t="shared" si="226"/>
        <v>0</v>
      </c>
      <c r="O440" s="290">
        <f t="shared" si="226"/>
        <v>0</v>
      </c>
      <c r="P440" s="290">
        <f t="shared" si="227"/>
        <v>0</v>
      </c>
      <c r="Q440" s="302">
        <f>Q439</f>
        <v>0</v>
      </c>
      <c r="R440" s="457"/>
      <c r="S440" s="458"/>
      <c r="T440" s="303"/>
      <c r="U440" s="303"/>
      <c r="V440" s="303"/>
      <c r="W440" s="275"/>
      <c r="X440" s="275">
        <f t="shared" si="228"/>
        <v>0</v>
      </c>
      <c r="Y440" s="275"/>
      <c r="Z440" s="303">
        <f>W440+T440</f>
        <v>0</v>
      </c>
      <c r="AA440" s="303">
        <f>X440+U440</f>
        <v>0</v>
      </c>
      <c r="AB440" s="303"/>
      <c r="AC440" s="303"/>
      <c r="AD440" s="303"/>
      <c r="AE440" s="303"/>
      <c r="AF440" s="304">
        <f>1385696811.17/1000/1.12+1017708093.72/1000/1.12+1480642604.11/1000/1.12+278000000/1000/1.12+576961459.97/1.12/1000+1013661851.48/1000/1.12+1054507064.58/1.12/1000+60000000/1.12/1000+28674315.89/1.12/1000+492977581.73/1.12/1000+7515576.6/1.12/1000+5239782.07/1.12/1000</f>
        <v>6608558.1618928555</v>
      </c>
      <c r="AG440" s="130">
        <f t="shared" si="229"/>
        <v>7401585.1413199985</v>
      </c>
      <c r="AH440" s="303"/>
      <c r="AI440" s="275">
        <f>AI439</f>
        <v>-16438.338107144315</v>
      </c>
      <c r="AJ440" s="275">
        <f>AJ439</f>
        <v>-18410.938680001633</v>
      </c>
      <c r="AK440" s="275"/>
      <c r="AL440" s="305">
        <f>AL439</f>
        <v>0.97469222431501457</v>
      </c>
      <c r="AM440" s="306"/>
      <c r="AN440" s="306">
        <f>AF440</f>
        <v>6608558.1618928555</v>
      </c>
      <c r="AO440" s="306"/>
      <c r="AP440" s="275">
        <f>AP439</f>
        <v>0</v>
      </c>
      <c r="AQ440" s="275">
        <f t="shared" si="220"/>
        <v>0</v>
      </c>
      <c r="AR440" s="275"/>
      <c r="AS440" s="275"/>
      <c r="AT440" s="275"/>
      <c r="AU440" s="275"/>
      <c r="AV440" s="275"/>
      <c r="AW440" s="275"/>
      <c r="AX440" s="275"/>
      <c r="AY440" s="275"/>
      <c r="AZ440" s="294"/>
      <c r="BA440" s="275"/>
      <c r="BB440" s="275"/>
      <c r="BC440" s="275"/>
      <c r="BD440" s="275"/>
      <c r="BE440" s="275"/>
      <c r="BF440" s="275"/>
      <c r="BG440" s="285"/>
      <c r="BH440" s="285"/>
      <c r="BI440" s="285"/>
      <c r="BJ440" s="285"/>
      <c r="BK440" s="285"/>
      <c r="BL440" s="285"/>
      <c r="BM440" s="285"/>
      <c r="BN440" s="285"/>
      <c r="BQ440" s="461"/>
      <c r="BR440" s="461"/>
      <c r="BS440" s="285"/>
    </row>
    <row r="441" spans="1:71" s="286" customFormat="1" ht="13.5" hidden="1" outlineLevel="1" x14ac:dyDescent="0.35">
      <c r="A441" s="453"/>
      <c r="B441" s="454"/>
      <c r="C441" s="270" t="s">
        <v>72</v>
      </c>
      <c r="D441" s="270" t="s">
        <v>73</v>
      </c>
      <c r="E441" s="271"/>
      <c r="F441" s="271">
        <f t="shared" si="216"/>
        <v>0</v>
      </c>
      <c r="G441" s="474"/>
      <c r="H441" s="475"/>
      <c r="I441" s="272"/>
      <c r="J441" s="272">
        <f t="shared" si="217"/>
        <v>0</v>
      </c>
      <c r="K441" s="455" t="s">
        <v>195</v>
      </c>
      <c r="L441" s="457"/>
      <c r="M441" s="456" t="s">
        <v>113</v>
      </c>
      <c r="N441" s="273">
        <f t="shared" si="226"/>
        <v>0</v>
      </c>
      <c r="O441" s="273">
        <f t="shared" si="226"/>
        <v>0</v>
      </c>
      <c r="P441" s="273">
        <f t="shared" si="227"/>
        <v>0</v>
      </c>
      <c r="Q441" s="274"/>
      <c r="R441" s="457"/>
      <c r="S441" s="458"/>
      <c r="T441" s="276"/>
      <c r="U441" s="276"/>
      <c r="V441" s="276"/>
      <c r="W441" s="277"/>
      <c r="X441" s="277">
        <f t="shared" si="228"/>
        <v>0</v>
      </c>
      <c r="Y441" s="277"/>
      <c r="Z441" s="276">
        <f>T441+W441</f>
        <v>0</v>
      </c>
      <c r="AA441" s="276">
        <f>U441+X441</f>
        <v>0</v>
      </c>
      <c r="AB441" s="276">
        <f>V441+Y441</f>
        <v>0</v>
      </c>
      <c r="AC441" s="276"/>
      <c r="AD441" s="276"/>
      <c r="AE441" s="276"/>
      <c r="AF441" s="276">
        <f>30002+120158-(30002+120158)</f>
        <v>0</v>
      </c>
      <c r="AG441" s="277">
        <f t="shared" si="229"/>
        <v>0</v>
      </c>
      <c r="AH441" s="276"/>
      <c r="AI441" s="271">
        <f>AF441-($AC$435/$AE$435*$AH$441)+($AC$435/$AE$435*AK441)</f>
        <v>0</v>
      </c>
      <c r="AJ441" s="277">
        <f>AI441*1.12</f>
        <v>0</v>
      </c>
      <c r="AK441" s="280">
        <f>AH441-0</f>
        <v>0</v>
      </c>
      <c r="AL441" s="281" t="e">
        <f>IF($AC$435=0,"",AF441/($AC$435/$AE$435*AH441))</f>
        <v>#DIV/0!</v>
      </c>
      <c r="AM441" s="282"/>
      <c r="AN441" s="282"/>
      <c r="AO441" s="282"/>
      <c r="AP441" s="277">
        <f>P441/1000+AT441</f>
        <v>0</v>
      </c>
      <c r="AQ441" s="277">
        <f t="shared" si="220"/>
        <v>0</v>
      </c>
      <c r="AR441" s="277">
        <f>S441</f>
        <v>0</v>
      </c>
      <c r="AS441" s="277"/>
      <c r="AT441" s="277">
        <f>AF441-($AC$435/$AE$435*AH441)</f>
        <v>0</v>
      </c>
      <c r="AU441" s="277"/>
      <c r="AV441" s="277"/>
      <c r="AW441" s="277"/>
      <c r="AX441" s="277"/>
      <c r="AY441" s="277"/>
      <c r="AZ441" s="277"/>
      <c r="BA441" s="277"/>
      <c r="BB441" s="277"/>
      <c r="BC441" s="277"/>
      <c r="BD441" s="277"/>
      <c r="BE441" s="277"/>
      <c r="BF441" s="277">
        <f>$AC$435/$AE$435*AK441</f>
        <v>0</v>
      </c>
      <c r="BG441" s="283"/>
      <c r="BH441" s="283"/>
      <c r="BI441" s="283"/>
      <c r="BJ441" s="283"/>
      <c r="BK441" s="283"/>
      <c r="BL441" s="283"/>
      <c r="BM441" s="283"/>
      <c r="BN441" s="283"/>
      <c r="BO441" s="284"/>
      <c r="BP441" s="284"/>
      <c r="BQ441" s="461"/>
      <c r="BR441" s="461"/>
      <c r="BS441" s="285"/>
    </row>
    <row r="442" spans="1:71" s="286" customFormat="1" ht="13.5" hidden="1" outlineLevel="1" x14ac:dyDescent="0.35">
      <c r="A442" s="453"/>
      <c r="B442" s="454"/>
      <c r="C442" s="287" t="s">
        <v>74</v>
      </c>
      <c r="D442" s="287" t="s">
        <v>75</v>
      </c>
      <c r="E442" s="288"/>
      <c r="F442" s="288">
        <f t="shared" si="216"/>
        <v>0</v>
      </c>
      <c r="G442" s="474"/>
      <c r="H442" s="475"/>
      <c r="I442" s="289"/>
      <c r="J442" s="289">
        <f t="shared" si="217"/>
        <v>0</v>
      </c>
      <c r="K442" s="455"/>
      <c r="L442" s="457"/>
      <c r="M442" s="456"/>
      <c r="N442" s="290">
        <f t="shared" si="226"/>
        <v>0</v>
      </c>
      <c r="O442" s="290">
        <f t="shared" si="226"/>
        <v>0</v>
      </c>
      <c r="P442" s="291">
        <f t="shared" si="227"/>
        <v>0</v>
      </c>
      <c r="Q442" s="292">
        <f>Q441</f>
        <v>0</v>
      </c>
      <c r="R442" s="457"/>
      <c r="S442" s="458"/>
      <c r="T442" s="293"/>
      <c r="U442" s="293"/>
      <c r="V442" s="293"/>
      <c r="W442" s="294">
        <f>W443</f>
        <v>0</v>
      </c>
      <c r="X442" s="294">
        <f t="shared" si="228"/>
        <v>0</v>
      </c>
      <c r="Y442" s="294"/>
      <c r="Z442" s="293">
        <f>W442+T442</f>
        <v>0</v>
      </c>
      <c r="AA442" s="293">
        <f>X442+U442</f>
        <v>0</v>
      </c>
      <c r="AB442" s="293"/>
      <c r="AC442" s="293"/>
      <c r="AD442" s="293"/>
      <c r="AE442" s="293"/>
      <c r="AF442" s="293">
        <f>AF443</f>
        <v>0</v>
      </c>
      <c r="AG442" s="294">
        <f t="shared" si="229"/>
        <v>0</v>
      </c>
      <c r="AH442" s="293"/>
      <c r="AI442" s="294">
        <f>AF442-($AC$436/$AE$435*$AH$441)+$AC$436/$AE$435*AK441</f>
        <v>0</v>
      </c>
      <c r="AJ442" s="294">
        <f>AI442*1.12</f>
        <v>0</v>
      </c>
      <c r="AK442" s="294"/>
      <c r="AL442" s="295" t="e">
        <f>IF($AC$436=0,"",AF442/($AC$436/$AE$435*AH441))</f>
        <v>#DIV/0!</v>
      </c>
      <c r="AM442" s="296"/>
      <c r="AN442" s="296">
        <f>AF442</f>
        <v>0</v>
      </c>
      <c r="AO442" s="296"/>
      <c r="AP442" s="294">
        <f>AP441</f>
        <v>0</v>
      </c>
      <c r="AQ442" s="294">
        <f t="shared" si="220"/>
        <v>0</v>
      </c>
      <c r="AR442" s="294"/>
      <c r="AS442" s="294"/>
      <c r="AT442" s="294"/>
      <c r="AU442" s="294"/>
      <c r="AV442" s="294"/>
      <c r="AW442" s="294"/>
      <c r="AX442" s="294"/>
      <c r="AY442" s="294"/>
      <c r="AZ442" s="294"/>
      <c r="BA442" s="294"/>
      <c r="BB442" s="294"/>
      <c r="BC442" s="294"/>
      <c r="BD442" s="294"/>
      <c r="BE442" s="294"/>
      <c r="BF442" s="294"/>
      <c r="BG442" s="297"/>
      <c r="BH442" s="297"/>
      <c r="BI442" s="297"/>
      <c r="BJ442" s="297"/>
      <c r="BK442" s="297"/>
      <c r="BL442" s="297"/>
      <c r="BM442" s="297"/>
      <c r="BN442" s="297"/>
      <c r="BO442" s="298"/>
      <c r="BP442" s="298"/>
      <c r="BQ442" s="461"/>
      <c r="BR442" s="461"/>
      <c r="BS442" s="285"/>
    </row>
    <row r="443" spans="1:71" s="286" customFormat="1" ht="13.5" hidden="1" outlineLevel="1" x14ac:dyDescent="0.35">
      <c r="A443" s="453"/>
      <c r="B443" s="454"/>
      <c r="C443" s="299" t="s">
        <v>74</v>
      </c>
      <c r="D443" s="299" t="s">
        <v>76</v>
      </c>
      <c r="E443" s="300"/>
      <c r="F443" s="300">
        <f t="shared" si="216"/>
        <v>0</v>
      </c>
      <c r="G443" s="474"/>
      <c r="H443" s="475"/>
      <c r="I443" s="301"/>
      <c r="J443" s="301">
        <f t="shared" si="217"/>
        <v>0</v>
      </c>
      <c r="K443" s="455"/>
      <c r="L443" s="457"/>
      <c r="M443" s="456"/>
      <c r="N443" s="290">
        <f t="shared" si="226"/>
        <v>0</v>
      </c>
      <c r="O443" s="290">
        <f t="shared" si="226"/>
        <v>0</v>
      </c>
      <c r="P443" s="290">
        <f t="shared" si="227"/>
        <v>0</v>
      </c>
      <c r="Q443" s="302">
        <f>Q442</f>
        <v>0</v>
      </c>
      <c r="R443" s="457"/>
      <c r="S443" s="458"/>
      <c r="T443" s="303"/>
      <c r="U443" s="303"/>
      <c r="V443" s="303"/>
      <c r="W443" s="275"/>
      <c r="X443" s="275">
        <f t="shared" si="228"/>
        <v>0</v>
      </c>
      <c r="Y443" s="275"/>
      <c r="Z443" s="303">
        <f>W443+T443</f>
        <v>0</v>
      </c>
      <c r="AA443" s="303">
        <f>X443+U443</f>
        <v>0</v>
      </c>
      <c r="AB443" s="303"/>
      <c r="AC443" s="303"/>
      <c r="AD443" s="303"/>
      <c r="AE443" s="303"/>
      <c r="AF443" s="303"/>
      <c r="AG443" s="275">
        <f t="shared" si="229"/>
        <v>0</v>
      </c>
      <c r="AH443" s="303"/>
      <c r="AI443" s="275">
        <f>AI442</f>
        <v>0</v>
      </c>
      <c r="AJ443" s="275">
        <f>AJ442</f>
        <v>0</v>
      </c>
      <c r="AK443" s="275"/>
      <c r="AL443" s="305" t="e">
        <f>AL442</f>
        <v>#DIV/0!</v>
      </c>
      <c r="AM443" s="306"/>
      <c r="AN443" s="306">
        <f>AF443</f>
        <v>0</v>
      </c>
      <c r="AO443" s="306"/>
      <c r="AP443" s="275">
        <f>AP442</f>
        <v>0</v>
      </c>
      <c r="AQ443" s="275">
        <f t="shared" si="220"/>
        <v>0</v>
      </c>
      <c r="AR443" s="275"/>
      <c r="AS443" s="275"/>
      <c r="AT443" s="275"/>
      <c r="AU443" s="275"/>
      <c r="AV443" s="275"/>
      <c r="AW443" s="275"/>
      <c r="AX443" s="275"/>
      <c r="AY443" s="275"/>
      <c r="AZ443" s="294"/>
      <c r="BA443" s="275"/>
      <c r="BB443" s="275"/>
      <c r="BC443" s="275"/>
      <c r="BD443" s="275"/>
      <c r="BE443" s="275"/>
      <c r="BF443" s="275"/>
      <c r="BG443" s="285"/>
      <c r="BH443" s="285"/>
      <c r="BI443" s="285"/>
      <c r="BJ443" s="285"/>
      <c r="BK443" s="285"/>
      <c r="BL443" s="285"/>
      <c r="BM443" s="285"/>
      <c r="BN443" s="285"/>
      <c r="BQ443" s="461"/>
      <c r="BR443" s="461"/>
      <c r="BS443" s="285"/>
    </row>
    <row r="444" spans="1:71" s="286" customFormat="1" ht="13.5" hidden="1" outlineLevel="1" x14ac:dyDescent="0.35">
      <c r="A444" s="453"/>
      <c r="B444" s="454"/>
      <c r="C444" s="270" t="s">
        <v>72</v>
      </c>
      <c r="D444" s="270" t="s">
        <v>73</v>
      </c>
      <c r="E444" s="271"/>
      <c r="F444" s="271">
        <f t="shared" si="216"/>
        <v>0</v>
      </c>
      <c r="G444" s="474"/>
      <c r="H444" s="475"/>
      <c r="I444" s="272"/>
      <c r="J444" s="272">
        <f t="shared" si="217"/>
        <v>0</v>
      </c>
      <c r="K444" s="455" t="s">
        <v>196</v>
      </c>
      <c r="L444" s="457" t="s">
        <v>197</v>
      </c>
      <c r="M444" s="456" t="s">
        <v>113</v>
      </c>
      <c r="N444" s="273">
        <f t="shared" si="226"/>
        <v>0</v>
      </c>
      <c r="O444" s="273">
        <f t="shared" si="226"/>
        <v>0</v>
      </c>
      <c r="P444" s="273">
        <f t="shared" si="227"/>
        <v>0</v>
      </c>
      <c r="Q444" s="274"/>
      <c r="R444" s="457"/>
      <c r="S444" s="458"/>
      <c r="T444" s="276"/>
      <c r="U444" s="276"/>
      <c r="V444" s="276"/>
      <c r="W444" s="277"/>
      <c r="X444" s="277">
        <f t="shared" si="228"/>
        <v>0</v>
      </c>
      <c r="Y444" s="277"/>
      <c r="Z444" s="276">
        <f>T444+W444</f>
        <v>0</v>
      </c>
      <c r="AA444" s="276">
        <f>U444+X444</f>
        <v>0</v>
      </c>
      <c r="AB444" s="276">
        <f>V444+Y444</f>
        <v>0</v>
      </c>
      <c r="AC444" s="276"/>
      <c r="AD444" s="276"/>
      <c r="AE444" s="276"/>
      <c r="AF444" s="276">
        <f>20352+6868-(20352+6868)</f>
        <v>0</v>
      </c>
      <c r="AG444" s="277">
        <f t="shared" si="229"/>
        <v>0</v>
      </c>
      <c r="AH444" s="276"/>
      <c r="AI444" s="277">
        <f>AF444-($AC$435/$AE$435*$AH$444)+$AC$435/$AE$435*AK444</f>
        <v>0</v>
      </c>
      <c r="AJ444" s="277">
        <f>AI444*1.12</f>
        <v>0</v>
      </c>
      <c r="AK444" s="280">
        <f>AH444-0</f>
        <v>0</v>
      </c>
      <c r="AL444" s="281" t="e">
        <f>IF($AC$435=0,"",AF444/($AC$435/$AE$435*AH444))</f>
        <v>#DIV/0!</v>
      </c>
      <c r="AM444" s="282"/>
      <c r="AN444" s="282"/>
      <c r="AO444" s="282"/>
      <c r="AP444" s="277">
        <f>P444/1000+AT444</f>
        <v>0</v>
      </c>
      <c r="AQ444" s="277">
        <f t="shared" si="220"/>
        <v>0</v>
      </c>
      <c r="AR444" s="277">
        <f>S444</f>
        <v>0</v>
      </c>
      <c r="AS444" s="277"/>
      <c r="AT444" s="277">
        <f>AF444-($AC$435/$AE$435*AH444)</f>
        <v>0</v>
      </c>
      <c r="AU444" s="277"/>
      <c r="AV444" s="277"/>
      <c r="AW444" s="277"/>
      <c r="AX444" s="277"/>
      <c r="AY444" s="277"/>
      <c r="AZ444" s="277"/>
      <c r="BA444" s="277"/>
      <c r="BB444" s="277"/>
      <c r="BC444" s="277"/>
      <c r="BD444" s="277"/>
      <c r="BE444" s="277"/>
      <c r="BF444" s="277">
        <f>$AC$435/$AE$435*AK444</f>
        <v>0</v>
      </c>
      <c r="BG444" s="283"/>
      <c r="BH444" s="283"/>
      <c r="BI444" s="283"/>
      <c r="BJ444" s="283"/>
      <c r="BK444" s="283"/>
      <c r="BL444" s="283"/>
      <c r="BM444" s="283"/>
      <c r="BN444" s="283"/>
      <c r="BO444" s="284"/>
      <c r="BP444" s="284"/>
      <c r="BQ444" s="461"/>
      <c r="BR444" s="461"/>
      <c r="BS444" s="285"/>
    </row>
    <row r="445" spans="1:71" s="286" customFormat="1" ht="13.5" hidden="1" outlineLevel="1" x14ac:dyDescent="0.35">
      <c r="A445" s="453"/>
      <c r="B445" s="454"/>
      <c r="C445" s="287" t="s">
        <v>74</v>
      </c>
      <c r="D445" s="287" t="s">
        <v>75</v>
      </c>
      <c r="E445" s="288"/>
      <c r="F445" s="288">
        <f t="shared" si="216"/>
        <v>0</v>
      </c>
      <c r="G445" s="474"/>
      <c r="H445" s="475"/>
      <c r="I445" s="289"/>
      <c r="J445" s="289">
        <f t="shared" si="217"/>
        <v>0</v>
      </c>
      <c r="K445" s="455"/>
      <c r="L445" s="457"/>
      <c r="M445" s="456"/>
      <c r="N445" s="290">
        <f t="shared" si="226"/>
        <v>0</v>
      </c>
      <c r="O445" s="290">
        <f t="shared" si="226"/>
        <v>0</v>
      </c>
      <c r="P445" s="291">
        <f t="shared" si="227"/>
        <v>0</v>
      </c>
      <c r="Q445" s="292">
        <f>Q444</f>
        <v>0</v>
      </c>
      <c r="R445" s="457"/>
      <c r="S445" s="458"/>
      <c r="T445" s="293"/>
      <c r="U445" s="293"/>
      <c r="V445" s="293"/>
      <c r="W445" s="294">
        <f>W446</f>
        <v>0</v>
      </c>
      <c r="X445" s="294">
        <f t="shared" si="228"/>
        <v>0</v>
      </c>
      <c r="Y445" s="294"/>
      <c r="Z445" s="293">
        <f>W445+T445</f>
        <v>0</v>
      </c>
      <c r="AA445" s="293">
        <f>X445+U445</f>
        <v>0</v>
      </c>
      <c r="AB445" s="293"/>
      <c r="AC445" s="293"/>
      <c r="AD445" s="293"/>
      <c r="AE445" s="293"/>
      <c r="AF445" s="293">
        <f>AF446</f>
        <v>0</v>
      </c>
      <c r="AG445" s="294">
        <f t="shared" si="229"/>
        <v>0</v>
      </c>
      <c r="AH445" s="293"/>
      <c r="AI445" s="294">
        <f>AF445-($AC$436/$AE$435*$AH$444)+$AC$436/$AE$435*AK444</f>
        <v>0</v>
      </c>
      <c r="AJ445" s="294">
        <f>AI445*1.12</f>
        <v>0</v>
      </c>
      <c r="AK445" s="294"/>
      <c r="AL445" s="295" t="e">
        <f>IF($AC$436=0,"",AF445/($AC$436/$AE$435*AH444))</f>
        <v>#DIV/0!</v>
      </c>
      <c r="AM445" s="296"/>
      <c r="AN445" s="296">
        <f>AF445</f>
        <v>0</v>
      </c>
      <c r="AO445" s="296"/>
      <c r="AP445" s="294">
        <f>AP444</f>
        <v>0</v>
      </c>
      <c r="AQ445" s="294">
        <f t="shared" si="220"/>
        <v>0</v>
      </c>
      <c r="AR445" s="294"/>
      <c r="AS445" s="294"/>
      <c r="AT445" s="294"/>
      <c r="AU445" s="294"/>
      <c r="AV445" s="294"/>
      <c r="AW445" s="294"/>
      <c r="AX445" s="294"/>
      <c r="AY445" s="294"/>
      <c r="AZ445" s="294"/>
      <c r="BA445" s="294"/>
      <c r="BB445" s="294"/>
      <c r="BC445" s="294"/>
      <c r="BD445" s="294"/>
      <c r="BE445" s="294"/>
      <c r="BF445" s="294"/>
      <c r="BG445" s="297"/>
      <c r="BH445" s="297"/>
      <c r="BI445" s="297"/>
      <c r="BJ445" s="297"/>
      <c r="BK445" s="297"/>
      <c r="BL445" s="297"/>
      <c r="BM445" s="297"/>
      <c r="BN445" s="297"/>
      <c r="BO445" s="298"/>
      <c r="BP445" s="298"/>
      <c r="BQ445" s="461"/>
      <c r="BR445" s="461"/>
      <c r="BS445" s="285"/>
    </row>
    <row r="446" spans="1:71" s="286" customFormat="1" ht="13.5" hidden="1" outlineLevel="1" x14ac:dyDescent="0.35">
      <c r="A446" s="453"/>
      <c r="B446" s="454"/>
      <c r="C446" s="299" t="s">
        <v>74</v>
      </c>
      <c r="D446" s="299" t="s">
        <v>76</v>
      </c>
      <c r="E446" s="300"/>
      <c r="F446" s="300">
        <f t="shared" si="216"/>
        <v>0</v>
      </c>
      <c r="G446" s="474"/>
      <c r="H446" s="475"/>
      <c r="I446" s="301"/>
      <c r="J446" s="301">
        <f t="shared" si="217"/>
        <v>0</v>
      </c>
      <c r="K446" s="455"/>
      <c r="L446" s="457"/>
      <c r="M446" s="456"/>
      <c r="N446" s="290">
        <f t="shared" si="226"/>
        <v>0</v>
      </c>
      <c r="O446" s="290">
        <f t="shared" si="226"/>
        <v>0</v>
      </c>
      <c r="P446" s="290">
        <f t="shared" si="227"/>
        <v>0</v>
      </c>
      <c r="Q446" s="302">
        <f>Q445</f>
        <v>0</v>
      </c>
      <c r="R446" s="457"/>
      <c r="S446" s="458"/>
      <c r="T446" s="303"/>
      <c r="U446" s="303"/>
      <c r="V446" s="303"/>
      <c r="W446" s="275"/>
      <c r="X446" s="275">
        <f t="shared" si="228"/>
        <v>0</v>
      </c>
      <c r="Y446" s="275"/>
      <c r="Z446" s="303">
        <f>W446+T446</f>
        <v>0</v>
      </c>
      <c r="AA446" s="303">
        <f>X446+U446</f>
        <v>0</v>
      </c>
      <c r="AB446" s="303"/>
      <c r="AC446" s="303"/>
      <c r="AD446" s="303"/>
      <c r="AE446" s="303"/>
      <c r="AF446" s="303"/>
      <c r="AG446" s="275">
        <f t="shared" si="229"/>
        <v>0</v>
      </c>
      <c r="AH446" s="303"/>
      <c r="AI446" s="275">
        <f>AI445</f>
        <v>0</v>
      </c>
      <c r="AJ446" s="275">
        <f>AJ445</f>
        <v>0</v>
      </c>
      <c r="AK446" s="275"/>
      <c r="AL446" s="305" t="e">
        <f>AL445</f>
        <v>#DIV/0!</v>
      </c>
      <c r="AM446" s="306"/>
      <c r="AN446" s="306">
        <f>AF446</f>
        <v>0</v>
      </c>
      <c r="AO446" s="306"/>
      <c r="AP446" s="275">
        <f>AP445</f>
        <v>0</v>
      </c>
      <c r="AQ446" s="275">
        <f t="shared" si="220"/>
        <v>0</v>
      </c>
      <c r="AR446" s="275"/>
      <c r="AS446" s="275"/>
      <c r="AT446" s="275"/>
      <c r="AU446" s="275"/>
      <c r="AV446" s="275"/>
      <c r="AW446" s="275"/>
      <c r="AX446" s="275"/>
      <c r="AY446" s="275"/>
      <c r="AZ446" s="294"/>
      <c r="BA446" s="275"/>
      <c r="BB446" s="275"/>
      <c r="BC446" s="275"/>
      <c r="BD446" s="275"/>
      <c r="BE446" s="275"/>
      <c r="BF446" s="275"/>
      <c r="BG446" s="285"/>
      <c r="BH446" s="285"/>
      <c r="BI446" s="285"/>
      <c r="BJ446" s="285"/>
      <c r="BK446" s="285"/>
      <c r="BL446" s="285"/>
      <c r="BM446" s="285"/>
      <c r="BN446" s="285"/>
      <c r="BQ446" s="461"/>
      <c r="BR446" s="461"/>
      <c r="BS446" s="285"/>
    </row>
    <row r="447" spans="1:71" s="286" customFormat="1" ht="13.5" hidden="1" outlineLevel="1" x14ac:dyDescent="0.35">
      <c r="A447" s="453"/>
      <c r="B447" s="454"/>
      <c r="C447" s="270" t="s">
        <v>72</v>
      </c>
      <c r="D447" s="270" t="s">
        <v>73</v>
      </c>
      <c r="E447" s="271"/>
      <c r="F447" s="271">
        <f t="shared" si="216"/>
        <v>0</v>
      </c>
      <c r="G447" s="474"/>
      <c r="H447" s="475"/>
      <c r="I447" s="272"/>
      <c r="J447" s="272">
        <f t="shared" si="217"/>
        <v>0</v>
      </c>
      <c r="K447" s="455" t="s">
        <v>131</v>
      </c>
      <c r="L447" s="455" t="s">
        <v>198</v>
      </c>
      <c r="M447" s="456" t="s">
        <v>113</v>
      </c>
      <c r="N447" s="273">
        <f t="shared" si="226"/>
        <v>0</v>
      </c>
      <c r="O447" s="273">
        <f t="shared" si="226"/>
        <v>0</v>
      </c>
      <c r="P447" s="273">
        <f t="shared" si="227"/>
        <v>0</v>
      </c>
      <c r="Q447" s="274"/>
      <c r="R447" s="457"/>
      <c r="S447" s="458"/>
      <c r="T447" s="276"/>
      <c r="U447" s="276"/>
      <c r="V447" s="276"/>
      <c r="W447" s="277"/>
      <c r="X447" s="277">
        <f t="shared" si="228"/>
        <v>0</v>
      </c>
      <c r="Y447" s="277"/>
      <c r="Z447" s="276">
        <f>T447+W447</f>
        <v>0</v>
      </c>
      <c r="AA447" s="276">
        <f>U447+X447</f>
        <v>0</v>
      </c>
      <c r="AB447" s="276">
        <f>V447+Y447</f>
        <v>0</v>
      </c>
      <c r="AC447" s="276"/>
      <c r="AD447" s="276"/>
      <c r="AE447" s="276"/>
      <c r="AF447" s="276">
        <f>12445+4649-(12445+4649)</f>
        <v>0</v>
      </c>
      <c r="AG447" s="277">
        <f t="shared" si="229"/>
        <v>0</v>
      </c>
      <c r="AH447" s="276"/>
      <c r="AI447" s="277">
        <f>AF447-($AC$435/$AE$435*$AH$447)+($AC$435/$AE$435*AK447)</f>
        <v>0</v>
      </c>
      <c r="AJ447" s="277">
        <f>AI447*1.12</f>
        <v>0</v>
      </c>
      <c r="AK447" s="280">
        <f>AH447-0</f>
        <v>0</v>
      </c>
      <c r="AL447" s="281" t="e">
        <f>IF($AC$435=0,"",AF447/($AC$435/$AE$435*AH447))</f>
        <v>#DIV/0!</v>
      </c>
      <c r="AM447" s="282"/>
      <c r="AN447" s="282"/>
      <c r="AO447" s="282"/>
      <c r="AP447" s="271">
        <f>P447/1000+AT447</f>
        <v>0</v>
      </c>
      <c r="AQ447" s="277">
        <f t="shared" si="220"/>
        <v>0</v>
      </c>
      <c r="AR447" s="277">
        <f>S447</f>
        <v>0</v>
      </c>
      <c r="AS447" s="277"/>
      <c r="AT447" s="277">
        <f>AF447-($AC$435/$AE$435*AH447)</f>
        <v>0</v>
      </c>
      <c r="AU447" s="277"/>
      <c r="AV447" s="277"/>
      <c r="AW447" s="277"/>
      <c r="AX447" s="277"/>
      <c r="AY447" s="277"/>
      <c r="AZ447" s="277"/>
      <c r="BA447" s="277"/>
      <c r="BB447" s="277"/>
      <c r="BC447" s="277"/>
      <c r="BD447" s="277"/>
      <c r="BE447" s="277"/>
      <c r="BF447" s="277">
        <f>$AC$435/$AE$435*AK447</f>
        <v>0</v>
      </c>
      <c r="BG447" s="283"/>
      <c r="BH447" s="283"/>
      <c r="BI447" s="283"/>
      <c r="BJ447" s="283"/>
      <c r="BK447" s="283"/>
      <c r="BL447" s="283"/>
      <c r="BM447" s="283"/>
      <c r="BN447" s="283"/>
      <c r="BO447" s="284"/>
      <c r="BP447" s="284"/>
      <c r="BQ447" s="461"/>
      <c r="BR447" s="461"/>
      <c r="BS447" s="285"/>
    </row>
    <row r="448" spans="1:71" s="286" customFormat="1" ht="13.5" hidden="1" outlineLevel="1" x14ac:dyDescent="0.35">
      <c r="A448" s="453"/>
      <c r="B448" s="454"/>
      <c r="C448" s="287" t="s">
        <v>74</v>
      </c>
      <c r="D448" s="287" t="s">
        <v>75</v>
      </c>
      <c r="E448" s="288"/>
      <c r="F448" s="288">
        <f t="shared" si="216"/>
        <v>0</v>
      </c>
      <c r="G448" s="474"/>
      <c r="H448" s="475"/>
      <c r="I448" s="289"/>
      <c r="J448" s="289">
        <f t="shared" si="217"/>
        <v>0</v>
      </c>
      <c r="K448" s="455"/>
      <c r="L448" s="455"/>
      <c r="M448" s="456"/>
      <c r="N448" s="290">
        <f t="shared" si="226"/>
        <v>0</v>
      </c>
      <c r="O448" s="290">
        <f t="shared" si="226"/>
        <v>0</v>
      </c>
      <c r="P448" s="291">
        <f t="shared" si="227"/>
        <v>0</v>
      </c>
      <c r="Q448" s="292">
        <f>Q447</f>
        <v>0</v>
      </c>
      <c r="R448" s="457"/>
      <c r="S448" s="458"/>
      <c r="T448" s="293"/>
      <c r="U448" s="293"/>
      <c r="V448" s="293"/>
      <c r="W448" s="294">
        <f>W449</f>
        <v>0</v>
      </c>
      <c r="X448" s="294">
        <f t="shared" si="228"/>
        <v>0</v>
      </c>
      <c r="Y448" s="294"/>
      <c r="Z448" s="293">
        <f>W448+T448</f>
        <v>0</v>
      </c>
      <c r="AA448" s="293">
        <f>X448+U448</f>
        <v>0</v>
      </c>
      <c r="AB448" s="293"/>
      <c r="AC448" s="293"/>
      <c r="AD448" s="293"/>
      <c r="AE448" s="293"/>
      <c r="AF448" s="293">
        <f>AF449</f>
        <v>0</v>
      </c>
      <c r="AG448" s="294">
        <f>AG449</f>
        <v>0</v>
      </c>
      <c r="AH448" s="293"/>
      <c r="AI448" s="294">
        <f>AF448-($AC$436/$AE$435*$AH$447)+$AC$436/$AE$435*AK447</f>
        <v>0</v>
      </c>
      <c r="AJ448" s="294">
        <f>AI448*1.12</f>
        <v>0</v>
      </c>
      <c r="AK448" s="294"/>
      <c r="AL448" s="295" t="e">
        <f>IF($AC$436=0,"",AF448/($AC$436/$AE$435*AH447))</f>
        <v>#DIV/0!</v>
      </c>
      <c r="AM448" s="296"/>
      <c r="AN448" s="296">
        <f>AF448</f>
        <v>0</v>
      </c>
      <c r="AO448" s="296"/>
      <c r="AP448" s="294">
        <f>AP447</f>
        <v>0</v>
      </c>
      <c r="AQ448" s="294">
        <f t="shared" si="220"/>
        <v>0</v>
      </c>
      <c r="AR448" s="294"/>
      <c r="AS448" s="294"/>
      <c r="AT448" s="294"/>
      <c r="AU448" s="294"/>
      <c r="AV448" s="294"/>
      <c r="AW448" s="294"/>
      <c r="AX448" s="294"/>
      <c r="AY448" s="294"/>
      <c r="AZ448" s="294"/>
      <c r="BA448" s="294"/>
      <c r="BB448" s="294"/>
      <c r="BC448" s="294"/>
      <c r="BD448" s="294"/>
      <c r="BE448" s="294"/>
      <c r="BF448" s="294"/>
      <c r="BG448" s="297"/>
      <c r="BH448" s="297"/>
      <c r="BI448" s="307">
        <f>BI449</f>
        <v>479.03246000000001</v>
      </c>
      <c r="BJ448" s="297"/>
      <c r="BK448" s="297"/>
      <c r="BL448" s="297"/>
      <c r="BM448" s="297"/>
      <c r="BN448" s="297"/>
      <c r="BO448" s="298"/>
      <c r="BP448" s="298"/>
      <c r="BQ448" s="461"/>
      <c r="BR448" s="461"/>
      <c r="BS448" s="285"/>
    </row>
    <row r="449" spans="1:71" s="286" customFormat="1" ht="13.5" hidden="1" outlineLevel="1" x14ac:dyDescent="0.35">
      <c r="A449" s="453"/>
      <c r="B449" s="454"/>
      <c r="C449" s="299" t="s">
        <v>74</v>
      </c>
      <c r="D449" s="299" t="s">
        <v>76</v>
      </c>
      <c r="E449" s="300"/>
      <c r="F449" s="300">
        <f t="shared" si="216"/>
        <v>0</v>
      </c>
      <c r="G449" s="474"/>
      <c r="H449" s="475"/>
      <c r="I449" s="301"/>
      <c r="J449" s="301">
        <f t="shared" si="217"/>
        <v>0</v>
      </c>
      <c r="K449" s="455"/>
      <c r="L449" s="455"/>
      <c r="M449" s="456"/>
      <c r="N449" s="290">
        <f t="shared" si="226"/>
        <v>0</v>
      </c>
      <c r="O449" s="290">
        <f t="shared" si="226"/>
        <v>0</v>
      </c>
      <c r="P449" s="290">
        <f t="shared" si="227"/>
        <v>0</v>
      </c>
      <c r="Q449" s="302">
        <f>Q448</f>
        <v>0</v>
      </c>
      <c r="R449" s="457"/>
      <c r="S449" s="458"/>
      <c r="T449" s="303"/>
      <c r="U449" s="303"/>
      <c r="V449" s="303"/>
      <c r="W449" s="275"/>
      <c r="X449" s="275">
        <f t="shared" si="228"/>
        <v>0</v>
      </c>
      <c r="Y449" s="275"/>
      <c r="Z449" s="303">
        <f>W449+T449</f>
        <v>0</v>
      </c>
      <c r="AA449" s="303">
        <f>X449+U449</f>
        <v>0</v>
      </c>
      <c r="AB449" s="303"/>
      <c r="AC449" s="303"/>
      <c r="AD449" s="303"/>
      <c r="AE449" s="303"/>
      <c r="AF449" s="303"/>
      <c r="AG449" s="275">
        <f>AF449*1.12</f>
        <v>0</v>
      </c>
      <c r="AH449" s="303"/>
      <c r="AI449" s="275">
        <f>AI448</f>
        <v>0</v>
      </c>
      <c r="AJ449" s="275">
        <f>AJ448</f>
        <v>0</v>
      </c>
      <c r="AK449" s="275"/>
      <c r="AL449" s="305" t="e">
        <f>AL448</f>
        <v>#DIV/0!</v>
      </c>
      <c r="AM449" s="306"/>
      <c r="AN449" s="306">
        <f>AF449</f>
        <v>0</v>
      </c>
      <c r="AO449" s="306"/>
      <c r="AP449" s="275">
        <f>AP448</f>
        <v>0</v>
      </c>
      <c r="AQ449" s="275">
        <f t="shared" si="220"/>
        <v>0</v>
      </c>
      <c r="AR449" s="275"/>
      <c r="AS449" s="275"/>
      <c r="AT449" s="275"/>
      <c r="AU449" s="275"/>
      <c r="AV449" s="275"/>
      <c r="AW449" s="275"/>
      <c r="AX449" s="275"/>
      <c r="AY449" s="275"/>
      <c r="AZ449" s="294"/>
      <c r="BA449" s="275"/>
      <c r="BB449" s="275"/>
      <c r="BC449" s="275"/>
      <c r="BD449" s="275"/>
      <c r="BE449" s="275"/>
      <c r="BF449" s="275"/>
      <c r="BG449" s="285"/>
      <c r="BH449" s="285"/>
      <c r="BI449" s="308">
        <v>479.03246000000001</v>
      </c>
      <c r="BJ449" s="285"/>
      <c r="BK449" s="285"/>
      <c r="BL449" s="285"/>
      <c r="BM449" s="285"/>
      <c r="BN449" s="285"/>
      <c r="BQ449" s="461"/>
      <c r="BR449" s="461"/>
      <c r="BS449" s="285"/>
    </row>
    <row r="450" spans="1:71" s="286" customFormat="1" ht="13.5" hidden="1" outlineLevel="1" x14ac:dyDescent="0.35">
      <c r="A450" s="453"/>
      <c r="B450" s="454"/>
      <c r="C450" s="270" t="s">
        <v>72</v>
      </c>
      <c r="D450" s="270" t="s">
        <v>73</v>
      </c>
      <c r="E450" s="271"/>
      <c r="F450" s="271">
        <f t="shared" si="216"/>
        <v>0</v>
      </c>
      <c r="G450" s="474"/>
      <c r="H450" s="475"/>
      <c r="I450" s="272"/>
      <c r="J450" s="272">
        <f t="shared" si="217"/>
        <v>0</v>
      </c>
      <c r="K450" s="455" t="s">
        <v>177</v>
      </c>
      <c r="L450" s="455" t="s">
        <v>199</v>
      </c>
      <c r="M450" s="456" t="s">
        <v>113</v>
      </c>
      <c r="N450" s="273">
        <f t="shared" si="226"/>
        <v>0</v>
      </c>
      <c r="O450" s="273">
        <f t="shared" si="226"/>
        <v>0</v>
      </c>
      <c r="P450" s="273">
        <f t="shared" si="227"/>
        <v>0</v>
      </c>
      <c r="Q450" s="274"/>
      <c r="R450" s="457"/>
      <c r="S450" s="458"/>
      <c r="T450" s="276"/>
      <c r="U450" s="276"/>
      <c r="V450" s="276"/>
      <c r="W450" s="277"/>
      <c r="X450" s="277">
        <f t="shared" si="228"/>
        <v>0</v>
      </c>
      <c r="Y450" s="277"/>
      <c r="Z450" s="276">
        <f>T450+W450</f>
        <v>0</v>
      </c>
      <c r="AA450" s="276">
        <f>U450+X450</f>
        <v>0</v>
      </c>
      <c r="AB450" s="276">
        <f>V450+Y450</f>
        <v>0</v>
      </c>
      <c r="AC450" s="276"/>
      <c r="AD450" s="276"/>
      <c r="AE450" s="276"/>
      <c r="AF450" s="276">
        <f>7004+(2679+5760)-(7004+(2679+5760))</f>
        <v>0</v>
      </c>
      <c r="AG450" s="277">
        <f t="shared" ref="AG450:AG465" si="230">AF450*1.12</f>
        <v>0</v>
      </c>
      <c r="AH450" s="276"/>
      <c r="AI450" s="277">
        <f>AF450-($AC$435/$AE$435*$AH$450)+($AC$435/$AE$435*AK450)</f>
        <v>0</v>
      </c>
      <c r="AJ450" s="277">
        <f>AI450*1.12</f>
        <v>0</v>
      </c>
      <c r="AK450" s="280">
        <f>AH450-0</f>
        <v>0</v>
      </c>
      <c r="AL450" s="281" t="e">
        <f>IF($AC$435=0,"",AF450/($AC$435/$AE$435*AH450))</f>
        <v>#DIV/0!</v>
      </c>
      <c r="AM450" s="282"/>
      <c r="AN450" s="282"/>
      <c r="AO450" s="282"/>
      <c r="AP450" s="280">
        <f>I435-AP447-AP444-AP441-AP438-AP435+(AT435+AT438+AT441+AT444+AT447)</f>
        <v>0</v>
      </c>
      <c r="AQ450" s="277">
        <f t="shared" si="220"/>
        <v>0</v>
      </c>
      <c r="AR450" s="277">
        <f>H435-AR447-AR444-AR441-AR438-AR435</f>
        <v>0</v>
      </c>
      <c r="AS450" s="277"/>
      <c r="AT450" s="277">
        <f>AF450-($AC$435/$AE$435*AH450)</f>
        <v>0</v>
      </c>
      <c r="AU450" s="277"/>
      <c r="AV450" s="277"/>
      <c r="AW450" s="277"/>
      <c r="AX450" s="277"/>
      <c r="AY450" s="277"/>
      <c r="AZ450" s="277"/>
      <c r="BA450" s="277"/>
      <c r="BB450" s="277"/>
      <c r="BC450" s="277"/>
      <c r="BD450" s="277"/>
      <c r="BE450" s="277"/>
      <c r="BF450" s="277">
        <f>$AC$435/$AE$435*AK450</f>
        <v>0</v>
      </c>
      <c r="BG450" s="283"/>
      <c r="BH450" s="283"/>
      <c r="BI450" s="283"/>
      <c r="BJ450" s="283"/>
      <c r="BK450" s="283"/>
      <c r="BL450" s="283"/>
      <c r="BM450" s="283"/>
      <c r="BN450" s="283"/>
      <c r="BO450" s="284"/>
      <c r="BP450" s="284"/>
      <c r="BQ450" s="461"/>
      <c r="BR450" s="461"/>
      <c r="BS450" s="285"/>
    </row>
    <row r="451" spans="1:71" s="286" customFormat="1" ht="13.5" hidden="1" outlineLevel="1" x14ac:dyDescent="0.35">
      <c r="A451" s="453"/>
      <c r="B451" s="454"/>
      <c r="C451" s="287" t="s">
        <v>74</v>
      </c>
      <c r="D451" s="287" t="s">
        <v>75</v>
      </c>
      <c r="E451" s="288"/>
      <c r="F451" s="288">
        <f t="shared" si="216"/>
        <v>0</v>
      </c>
      <c r="G451" s="474"/>
      <c r="H451" s="475"/>
      <c r="I451" s="289"/>
      <c r="J451" s="289">
        <f t="shared" si="217"/>
        <v>0</v>
      </c>
      <c r="K451" s="455"/>
      <c r="L451" s="455"/>
      <c r="M451" s="456"/>
      <c r="N451" s="290">
        <f t="shared" si="226"/>
        <v>0</v>
      </c>
      <c r="O451" s="290">
        <f t="shared" si="226"/>
        <v>0</v>
      </c>
      <c r="P451" s="291">
        <f t="shared" si="227"/>
        <v>0</v>
      </c>
      <c r="Q451" s="292">
        <f>Q450</f>
        <v>0</v>
      </c>
      <c r="R451" s="457"/>
      <c r="S451" s="458"/>
      <c r="T451" s="293"/>
      <c r="U451" s="293"/>
      <c r="V451" s="293"/>
      <c r="W451" s="294">
        <f>W452</f>
        <v>0</v>
      </c>
      <c r="X451" s="294">
        <f t="shared" si="228"/>
        <v>0</v>
      </c>
      <c r="Y451" s="294"/>
      <c r="Z451" s="293">
        <f>W451+T451</f>
        <v>0</v>
      </c>
      <c r="AA451" s="293">
        <f>X451+U451</f>
        <v>0</v>
      </c>
      <c r="AB451" s="293"/>
      <c r="AC451" s="293"/>
      <c r="AD451" s="293"/>
      <c r="AE451" s="293"/>
      <c r="AF451" s="293">
        <f>AF452</f>
        <v>0</v>
      </c>
      <c r="AG451" s="294">
        <f t="shared" si="230"/>
        <v>0</v>
      </c>
      <c r="AH451" s="293"/>
      <c r="AI451" s="294">
        <f>AF451-($AC$436/$AE$435*$AH$450)+$AC$436/$AE$435*AK450</f>
        <v>0</v>
      </c>
      <c r="AJ451" s="294">
        <f>AI451*1.12</f>
        <v>0</v>
      </c>
      <c r="AK451" s="294"/>
      <c r="AL451" s="295" t="e">
        <f>IF($AC$436=0,"",AF451/($AC$436/$AE$435*AH450))</f>
        <v>#DIV/0!</v>
      </c>
      <c r="AM451" s="296"/>
      <c r="AN451" s="296">
        <f>AF451</f>
        <v>0</v>
      </c>
      <c r="AO451" s="296"/>
      <c r="AP451" s="294">
        <f>I436-AP448-AP445-AP442-AP439-AP436+(AT435+AT438+AT441+AT444+AT447)</f>
        <v>-984497</v>
      </c>
      <c r="AQ451" s="294">
        <f t="shared" si="220"/>
        <v>-1102636.6400000001</v>
      </c>
      <c r="AR451" s="294"/>
      <c r="AS451" s="294"/>
      <c r="AT451" s="294"/>
      <c r="AU451" s="294"/>
      <c r="AV451" s="294"/>
      <c r="AW451" s="294"/>
      <c r="AX451" s="294"/>
      <c r="AY451" s="294"/>
      <c r="AZ451" s="294"/>
      <c r="BA451" s="294"/>
      <c r="BB451" s="294"/>
      <c r="BC451" s="294"/>
      <c r="BD451" s="294"/>
      <c r="BE451" s="294"/>
      <c r="BF451" s="294"/>
      <c r="BG451" s="297"/>
      <c r="BH451" s="297"/>
      <c r="BI451" s="307"/>
      <c r="BJ451" s="297"/>
      <c r="BK451" s="297"/>
      <c r="BL451" s="297"/>
      <c r="BM451" s="297"/>
      <c r="BN451" s="297"/>
      <c r="BO451" s="298"/>
      <c r="BP451" s="298"/>
      <c r="BQ451" s="461"/>
      <c r="BR451" s="461"/>
      <c r="BS451" s="285"/>
    </row>
    <row r="452" spans="1:71" s="286" customFormat="1" ht="13.5" hidden="1" outlineLevel="1" x14ac:dyDescent="0.35">
      <c r="A452" s="453"/>
      <c r="B452" s="454"/>
      <c r="C452" s="299" t="s">
        <v>74</v>
      </c>
      <c r="D452" s="299" t="s">
        <v>76</v>
      </c>
      <c r="E452" s="300"/>
      <c r="F452" s="300">
        <f t="shared" si="216"/>
        <v>0</v>
      </c>
      <c r="G452" s="474"/>
      <c r="H452" s="475"/>
      <c r="I452" s="301"/>
      <c r="J452" s="301">
        <f t="shared" si="217"/>
        <v>0</v>
      </c>
      <c r="K452" s="455"/>
      <c r="L452" s="455"/>
      <c r="M452" s="456"/>
      <c r="N452" s="290">
        <f t="shared" si="226"/>
        <v>0</v>
      </c>
      <c r="O452" s="290">
        <f t="shared" si="226"/>
        <v>0</v>
      </c>
      <c r="P452" s="290">
        <f t="shared" si="227"/>
        <v>0</v>
      </c>
      <c r="Q452" s="302">
        <f>Q451</f>
        <v>0</v>
      </c>
      <c r="R452" s="457"/>
      <c r="S452" s="458"/>
      <c r="T452" s="303"/>
      <c r="U452" s="303"/>
      <c r="V452" s="303"/>
      <c r="W452" s="275"/>
      <c r="X452" s="275">
        <f t="shared" si="228"/>
        <v>0</v>
      </c>
      <c r="Y452" s="275"/>
      <c r="Z452" s="303">
        <f>W452+T452</f>
        <v>0</v>
      </c>
      <c r="AA452" s="303">
        <f>X452+U452</f>
        <v>0</v>
      </c>
      <c r="AB452" s="303"/>
      <c r="AC452" s="303"/>
      <c r="AD452" s="303"/>
      <c r="AE452" s="303"/>
      <c r="AF452" s="303"/>
      <c r="AG452" s="275">
        <f t="shared" si="230"/>
        <v>0</v>
      </c>
      <c r="AH452" s="303"/>
      <c r="AI452" s="275">
        <f>AI451</f>
        <v>0</v>
      </c>
      <c r="AJ452" s="275">
        <f>AJ451</f>
        <v>0</v>
      </c>
      <c r="AK452" s="275"/>
      <c r="AL452" s="305" t="e">
        <f>AL451</f>
        <v>#DIV/0!</v>
      </c>
      <c r="AM452" s="306"/>
      <c r="AN452" s="306">
        <f>AF452</f>
        <v>0</v>
      </c>
      <c r="AO452" s="306"/>
      <c r="AP452" s="275">
        <f>AP451</f>
        <v>-984497</v>
      </c>
      <c r="AQ452" s="275">
        <f t="shared" si="220"/>
        <v>-1102636.6400000001</v>
      </c>
      <c r="AR452" s="275"/>
      <c r="AS452" s="275"/>
      <c r="AT452" s="275"/>
      <c r="AU452" s="275"/>
      <c r="AV452" s="275"/>
      <c r="AW452" s="275"/>
      <c r="AX452" s="275"/>
      <c r="AY452" s="275"/>
      <c r="AZ452" s="294"/>
      <c r="BA452" s="275"/>
      <c r="BB452" s="275"/>
      <c r="BC452" s="275"/>
      <c r="BD452" s="275"/>
      <c r="BE452" s="275"/>
      <c r="BF452" s="275"/>
      <c r="BG452" s="285"/>
      <c r="BH452" s="285"/>
      <c r="BI452" s="308"/>
      <c r="BJ452" s="285"/>
      <c r="BK452" s="285"/>
      <c r="BL452" s="285"/>
      <c r="BM452" s="285"/>
      <c r="BN452" s="285"/>
      <c r="BQ452" s="461"/>
      <c r="BR452" s="461"/>
      <c r="BS452" s="285"/>
    </row>
    <row r="453" spans="1:71" s="286" customFormat="1" ht="13.5" hidden="1" outlineLevel="1" x14ac:dyDescent="0.35">
      <c r="A453" s="453"/>
      <c r="B453" s="454"/>
      <c r="C453" s="270" t="s">
        <v>72</v>
      </c>
      <c r="D453" s="270" t="s">
        <v>73</v>
      </c>
      <c r="E453" s="271"/>
      <c r="F453" s="271">
        <f t="shared" si="216"/>
        <v>0</v>
      </c>
      <c r="G453" s="474"/>
      <c r="H453" s="475"/>
      <c r="I453" s="272"/>
      <c r="J453" s="272">
        <f t="shared" si="217"/>
        <v>0</v>
      </c>
      <c r="K453" s="455" t="s">
        <v>158</v>
      </c>
      <c r="L453" s="455" t="s">
        <v>200</v>
      </c>
      <c r="M453" s="456" t="s">
        <v>113</v>
      </c>
      <c r="N453" s="273">
        <f t="shared" si="226"/>
        <v>0</v>
      </c>
      <c r="O453" s="273">
        <f t="shared" si="226"/>
        <v>0</v>
      </c>
      <c r="P453" s="273">
        <f t="shared" si="227"/>
        <v>0</v>
      </c>
      <c r="Q453" s="274"/>
      <c r="R453" s="457"/>
      <c r="S453" s="458"/>
      <c r="T453" s="276"/>
      <c r="U453" s="276"/>
      <c r="V453" s="276"/>
      <c r="W453" s="277"/>
      <c r="X453" s="277">
        <f t="shared" si="228"/>
        <v>0</v>
      </c>
      <c r="Y453" s="277"/>
      <c r="Z453" s="276">
        <f>T453+W453</f>
        <v>0</v>
      </c>
      <c r="AA453" s="276">
        <f>U453+X453</f>
        <v>0</v>
      </c>
      <c r="AB453" s="276">
        <f>V453+Y453</f>
        <v>0</v>
      </c>
      <c r="AC453" s="276"/>
      <c r="AD453" s="276"/>
      <c r="AE453" s="276"/>
      <c r="AF453" s="276">
        <f>18695-18695</f>
        <v>0</v>
      </c>
      <c r="AG453" s="277">
        <f t="shared" si="230"/>
        <v>0</v>
      </c>
      <c r="AH453" s="276"/>
      <c r="AI453" s="277">
        <f>AF453-($AC$435/$AE$435*$AH$453)+($AC$435/$AE$435*AK453)</f>
        <v>0</v>
      </c>
      <c r="AJ453" s="277">
        <f>AI453*1.12</f>
        <v>0</v>
      </c>
      <c r="AK453" s="280">
        <f>AH453-0</f>
        <v>0</v>
      </c>
      <c r="AL453" s="281" t="e">
        <f>IF($AC$435=0,"",AF453/($AC$435/$AE$435*AH453))</f>
        <v>#DIV/0!</v>
      </c>
      <c r="AM453" s="282"/>
      <c r="AN453" s="282"/>
      <c r="AO453" s="282"/>
      <c r="AP453" s="277">
        <f>AF453</f>
        <v>0</v>
      </c>
      <c r="AQ453" s="277">
        <f t="shared" si="220"/>
        <v>0</v>
      </c>
      <c r="AR453" s="277">
        <f>S453</f>
        <v>0</v>
      </c>
      <c r="AS453" s="277"/>
      <c r="AT453" s="277">
        <f>AF453-($AC$435/$AE$435*AH453)</f>
        <v>0</v>
      </c>
      <c r="AU453" s="277"/>
      <c r="AV453" s="277"/>
      <c r="AW453" s="277"/>
      <c r="AX453" s="277"/>
      <c r="AY453" s="277"/>
      <c r="AZ453" s="277">
        <f>$AC$435/$AE$435*AK453</f>
        <v>0</v>
      </c>
      <c r="BA453" s="277"/>
      <c r="BB453" s="277"/>
      <c r="BC453" s="277"/>
      <c r="BD453" s="277"/>
      <c r="BE453" s="277"/>
      <c r="BF453" s="277"/>
      <c r="BG453" s="283"/>
      <c r="BH453" s="283"/>
      <c r="BI453" s="283"/>
      <c r="BJ453" s="283"/>
      <c r="BK453" s="283"/>
      <c r="BL453" s="283"/>
      <c r="BM453" s="283"/>
      <c r="BN453" s="283"/>
      <c r="BO453" s="284"/>
      <c r="BP453" s="284"/>
      <c r="BQ453" s="461"/>
      <c r="BR453" s="461"/>
      <c r="BS453" s="285"/>
    </row>
    <row r="454" spans="1:71" s="286" customFormat="1" ht="13.5" hidden="1" outlineLevel="1" x14ac:dyDescent="0.35">
      <c r="A454" s="453"/>
      <c r="B454" s="454"/>
      <c r="C454" s="287" t="s">
        <v>74</v>
      </c>
      <c r="D454" s="287" t="s">
        <v>75</v>
      </c>
      <c r="E454" s="288"/>
      <c r="F454" s="288">
        <f t="shared" si="216"/>
        <v>0</v>
      </c>
      <c r="G454" s="474"/>
      <c r="H454" s="475"/>
      <c r="I454" s="289"/>
      <c r="J454" s="289">
        <f t="shared" si="217"/>
        <v>0</v>
      </c>
      <c r="K454" s="455"/>
      <c r="L454" s="455"/>
      <c r="M454" s="456"/>
      <c r="N454" s="290">
        <f t="shared" si="226"/>
        <v>0</v>
      </c>
      <c r="O454" s="290">
        <f t="shared" si="226"/>
        <v>0</v>
      </c>
      <c r="P454" s="291">
        <f t="shared" si="227"/>
        <v>0</v>
      </c>
      <c r="Q454" s="292">
        <f>Q453</f>
        <v>0</v>
      </c>
      <c r="R454" s="457"/>
      <c r="S454" s="458"/>
      <c r="T454" s="293"/>
      <c r="U454" s="293"/>
      <c r="V454" s="293"/>
      <c r="W454" s="294">
        <f>W455</f>
        <v>0</v>
      </c>
      <c r="X454" s="294">
        <f t="shared" si="228"/>
        <v>0</v>
      </c>
      <c r="Y454" s="294"/>
      <c r="Z454" s="293">
        <f>W454+T454</f>
        <v>0</v>
      </c>
      <c r="AA454" s="293">
        <f>X454+U454</f>
        <v>0</v>
      </c>
      <c r="AB454" s="293"/>
      <c r="AC454" s="293"/>
      <c r="AD454" s="293"/>
      <c r="AE454" s="293"/>
      <c r="AF454" s="293">
        <f>AF455</f>
        <v>0</v>
      </c>
      <c r="AG454" s="294">
        <f t="shared" si="230"/>
        <v>0</v>
      </c>
      <c r="AH454" s="293"/>
      <c r="AI454" s="294">
        <f>AF454-($AC$436/$AE$435*$AH$453)+$AC$436/$AE$435*AK453</f>
        <v>0</v>
      </c>
      <c r="AJ454" s="294">
        <f>AI454*1.12</f>
        <v>0</v>
      </c>
      <c r="AK454" s="294"/>
      <c r="AL454" s="295" t="e">
        <f>IF($AC$436=0,"",AF454/($AC$436/$AE$435*AH453))</f>
        <v>#DIV/0!</v>
      </c>
      <c r="AM454" s="296"/>
      <c r="AN454" s="296">
        <f>AF454</f>
        <v>0</v>
      </c>
      <c r="AO454" s="296"/>
      <c r="AP454" s="294">
        <f>AF454</f>
        <v>0</v>
      </c>
      <c r="AQ454" s="294">
        <f t="shared" si="220"/>
        <v>0</v>
      </c>
      <c r="AR454" s="294"/>
      <c r="AS454" s="294"/>
      <c r="AT454" s="294"/>
      <c r="AU454" s="294"/>
      <c r="AV454" s="294"/>
      <c r="AW454" s="294"/>
      <c r="AX454" s="294"/>
      <c r="AY454" s="294"/>
      <c r="AZ454" s="294"/>
      <c r="BA454" s="294"/>
      <c r="BB454" s="294"/>
      <c r="BC454" s="294"/>
      <c r="BD454" s="294"/>
      <c r="BE454" s="294"/>
      <c r="BF454" s="294"/>
      <c r="BG454" s="297"/>
      <c r="BH454" s="297"/>
      <c r="BI454" s="297"/>
      <c r="BJ454" s="297"/>
      <c r="BK454" s="297"/>
      <c r="BL454" s="297"/>
      <c r="BM454" s="297"/>
      <c r="BN454" s="297"/>
      <c r="BO454" s="298"/>
      <c r="BP454" s="298"/>
      <c r="BQ454" s="461"/>
      <c r="BR454" s="461"/>
      <c r="BS454" s="285"/>
    </row>
    <row r="455" spans="1:71" s="286" customFormat="1" ht="13.5" hidden="1" outlineLevel="1" x14ac:dyDescent="0.35">
      <c r="A455" s="453"/>
      <c r="B455" s="454"/>
      <c r="C455" s="299" t="s">
        <v>74</v>
      </c>
      <c r="D455" s="299" t="s">
        <v>76</v>
      </c>
      <c r="E455" s="300"/>
      <c r="F455" s="300">
        <f t="shared" si="216"/>
        <v>0</v>
      </c>
      <c r="G455" s="474"/>
      <c r="H455" s="475"/>
      <c r="I455" s="301"/>
      <c r="J455" s="301">
        <f t="shared" si="217"/>
        <v>0</v>
      </c>
      <c r="K455" s="455"/>
      <c r="L455" s="455"/>
      <c r="M455" s="456"/>
      <c r="N455" s="290">
        <f t="shared" si="226"/>
        <v>0</v>
      </c>
      <c r="O455" s="290">
        <f t="shared" si="226"/>
        <v>0</v>
      </c>
      <c r="P455" s="290">
        <f t="shared" si="227"/>
        <v>0</v>
      </c>
      <c r="Q455" s="302">
        <f>Q454</f>
        <v>0</v>
      </c>
      <c r="R455" s="457"/>
      <c r="S455" s="458"/>
      <c r="T455" s="303"/>
      <c r="U455" s="303"/>
      <c r="V455" s="303"/>
      <c r="W455" s="275"/>
      <c r="X455" s="275">
        <f t="shared" si="228"/>
        <v>0</v>
      </c>
      <c r="Y455" s="275"/>
      <c r="Z455" s="303">
        <f>W455+T455</f>
        <v>0</v>
      </c>
      <c r="AA455" s="303">
        <f>X455+U455</f>
        <v>0</v>
      </c>
      <c r="AB455" s="303"/>
      <c r="AC455" s="303"/>
      <c r="AD455" s="303"/>
      <c r="AE455" s="303"/>
      <c r="AF455" s="303"/>
      <c r="AG455" s="275">
        <f t="shared" si="230"/>
        <v>0</v>
      </c>
      <c r="AH455" s="303"/>
      <c r="AI455" s="275">
        <f>AI454</f>
        <v>0</v>
      </c>
      <c r="AJ455" s="275">
        <f>AJ454</f>
        <v>0</v>
      </c>
      <c r="AK455" s="275"/>
      <c r="AL455" s="305" t="e">
        <f>AL454</f>
        <v>#DIV/0!</v>
      </c>
      <c r="AM455" s="306"/>
      <c r="AN455" s="306">
        <f>AF455</f>
        <v>0</v>
      </c>
      <c r="AO455" s="306"/>
      <c r="AP455" s="275">
        <f>AP454</f>
        <v>0</v>
      </c>
      <c r="AQ455" s="275">
        <f t="shared" si="220"/>
        <v>0</v>
      </c>
      <c r="AR455" s="275"/>
      <c r="AS455" s="275"/>
      <c r="AT455" s="275"/>
      <c r="AU455" s="275"/>
      <c r="AV455" s="275"/>
      <c r="AW455" s="275"/>
      <c r="AX455" s="275"/>
      <c r="AY455" s="275"/>
      <c r="AZ455" s="294"/>
      <c r="BA455" s="275"/>
      <c r="BB455" s="275"/>
      <c r="BC455" s="275"/>
      <c r="BD455" s="275"/>
      <c r="BE455" s="275"/>
      <c r="BF455" s="275"/>
      <c r="BG455" s="285"/>
      <c r="BH455" s="285"/>
      <c r="BI455" s="285"/>
      <c r="BJ455" s="285"/>
      <c r="BK455" s="285"/>
      <c r="BL455" s="285"/>
      <c r="BM455" s="285"/>
      <c r="BN455" s="285"/>
      <c r="BQ455" s="461"/>
      <c r="BR455" s="461"/>
      <c r="BS455" s="285"/>
    </row>
    <row r="456" spans="1:71" s="286" customFormat="1" ht="13.5" hidden="1" outlineLevel="1" x14ac:dyDescent="0.35">
      <c r="A456" s="453"/>
      <c r="B456" s="454"/>
      <c r="C456" s="270" t="s">
        <v>72</v>
      </c>
      <c r="D456" s="270" t="s">
        <v>73</v>
      </c>
      <c r="E456" s="271"/>
      <c r="F456" s="271">
        <f t="shared" si="216"/>
        <v>0</v>
      </c>
      <c r="G456" s="474"/>
      <c r="H456" s="475"/>
      <c r="I456" s="272"/>
      <c r="J456" s="272">
        <f t="shared" si="217"/>
        <v>0</v>
      </c>
      <c r="K456" s="455" t="s">
        <v>182</v>
      </c>
      <c r="L456" s="455" t="s">
        <v>201</v>
      </c>
      <c r="M456" s="456" t="s">
        <v>113</v>
      </c>
      <c r="N456" s="273">
        <f t="shared" si="226"/>
        <v>0</v>
      </c>
      <c r="O456" s="273">
        <f t="shared" si="226"/>
        <v>0</v>
      </c>
      <c r="P456" s="273">
        <f t="shared" si="227"/>
        <v>0</v>
      </c>
      <c r="Q456" s="274"/>
      <c r="R456" s="457"/>
      <c r="S456" s="458"/>
      <c r="T456" s="276"/>
      <c r="U456" s="276"/>
      <c r="V456" s="276"/>
      <c r="W456" s="277"/>
      <c r="X456" s="277">
        <f t="shared" si="228"/>
        <v>0</v>
      </c>
      <c r="Y456" s="277"/>
      <c r="Z456" s="276">
        <f>T456+W456</f>
        <v>0</v>
      </c>
      <c r="AA456" s="276">
        <f>U456+X456</f>
        <v>0</v>
      </c>
      <c r="AB456" s="276">
        <f>V456+Y456</f>
        <v>0</v>
      </c>
      <c r="AC456" s="276"/>
      <c r="AD456" s="276"/>
      <c r="AE456" s="276"/>
      <c r="AF456" s="276">
        <f>7300+17424-(7300+17424)</f>
        <v>0</v>
      </c>
      <c r="AG456" s="277">
        <f t="shared" si="230"/>
        <v>0</v>
      </c>
      <c r="AH456" s="276"/>
      <c r="AI456" s="277">
        <f>AF456-($AC$435/$AE$435*$AH$456)+($AC$435/$AE$435*AK456)</f>
        <v>0</v>
      </c>
      <c r="AJ456" s="277">
        <f>AI456*1.12</f>
        <v>0</v>
      </c>
      <c r="AK456" s="280">
        <f>AH456-0</f>
        <v>0</v>
      </c>
      <c r="AL456" s="281" t="e">
        <f>IF($AC$435=0,"",AF456/($AC$435/$AE$435*AH456))</f>
        <v>#DIV/0!</v>
      </c>
      <c r="AM456" s="282"/>
      <c r="AN456" s="282"/>
      <c r="AO456" s="282"/>
      <c r="AP456" s="277"/>
      <c r="AQ456" s="277">
        <f t="shared" si="220"/>
        <v>0</v>
      </c>
      <c r="AR456" s="277">
        <f>S456</f>
        <v>0</v>
      </c>
      <c r="AS456" s="277"/>
      <c r="AT456" s="277">
        <f>AF456-($AC$435/$AE$435*AH456)</f>
        <v>0</v>
      </c>
      <c r="AU456" s="277"/>
      <c r="AV456" s="277"/>
      <c r="AW456" s="277"/>
      <c r="AX456" s="277"/>
      <c r="AY456" s="277"/>
      <c r="AZ456" s="277">
        <f>$AC$435/$AE$435*AK456</f>
        <v>0</v>
      </c>
      <c r="BA456" s="277"/>
      <c r="BB456" s="277"/>
      <c r="BC456" s="277"/>
      <c r="BD456" s="277"/>
      <c r="BE456" s="277"/>
      <c r="BF456" s="277"/>
      <c r="BG456" s="283"/>
      <c r="BH456" s="283"/>
      <c r="BI456" s="283"/>
      <c r="BJ456" s="283"/>
      <c r="BK456" s="283"/>
      <c r="BL456" s="283"/>
      <c r="BM456" s="283"/>
      <c r="BN456" s="283"/>
      <c r="BO456" s="284"/>
      <c r="BP456" s="284"/>
      <c r="BQ456" s="461"/>
      <c r="BR456" s="461"/>
      <c r="BS456" s="285"/>
    </row>
    <row r="457" spans="1:71" s="286" customFormat="1" ht="13.5" hidden="1" outlineLevel="1" x14ac:dyDescent="0.35">
      <c r="A457" s="453"/>
      <c r="B457" s="454"/>
      <c r="C457" s="287" t="s">
        <v>74</v>
      </c>
      <c r="D457" s="287" t="s">
        <v>75</v>
      </c>
      <c r="E457" s="288"/>
      <c r="F457" s="288">
        <f t="shared" si="216"/>
        <v>0</v>
      </c>
      <c r="G457" s="474"/>
      <c r="H457" s="475"/>
      <c r="I457" s="289"/>
      <c r="J457" s="289">
        <f t="shared" si="217"/>
        <v>0</v>
      </c>
      <c r="K457" s="455"/>
      <c r="L457" s="455"/>
      <c r="M457" s="456"/>
      <c r="N457" s="290">
        <f t="shared" si="226"/>
        <v>0</v>
      </c>
      <c r="O457" s="290">
        <f t="shared" si="226"/>
        <v>0</v>
      </c>
      <c r="P457" s="291">
        <f t="shared" si="227"/>
        <v>0</v>
      </c>
      <c r="Q457" s="292">
        <f>Q456</f>
        <v>0</v>
      </c>
      <c r="R457" s="457"/>
      <c r="S457" s="458"/>
      <c r="T457" s="293"/>
      <c r="U457" s="293"/>
      <c r="V457" s="293"/>
      <c r="W457" s="294">
        <f>W458</f>
        <v>0</v>
      </c>
      <c r="X457" s="294">
        <f t="shared" si="228"/>
        <v>0</v>
      </c>
      <c r="Y457" s="294"/>
      <c r="Z457" s="293">
        <f>W457+T457</f>
        <v>0</v>
      </c>
      <c r="AA457" s="293">
        <f>X457+U457</f>
        <v>0</v>
      </c>
      <c r="AB457" s="293"/>
      <c r="AC457" s="293"/>
      <c r="AD457" s="293"/>
      <c r="AE457" s="293"/>
      <c r="AF457" s="293">
        <f>AF458</f>
        <v>0</v>
      </c>
      <c r="AG457" s="294">
        <f t="shared" si="230"/>
        <v>0</v>
      </c>
      <c r="AH457" s="293"/>
      <c r="AI457" s="294">
        <f>AF457-($AC$436/$AE$435*$AH$456)+$AC$436/$AE$435*AK456</f>
        <v>0</v>
      </c>
      <c r="AJ457" s="294">
        <f>AI457*1.12</f>
        <v>0</v>
      </c>
      <c r="AK457" s="294"/>
      <c r="AL457" s="295" t="e">
        <f>IF($AC$436=0,"",AF457/($AC$436/$AE$435*AH456))</f>
        <v>#DIV/0!</v>
      </c>
      <c r="AM457" s="296"/>
      <c r="AN457" s="296">
        <f>AF457</f>
        <v>0</v>
      </c>
      <c r="AO457" s="296"/>
      <c r="AP457" s="294">
        <f>AF457</f>
        <v>0</v>
      </c>
      <c r="AQ457" s="294">
        <f t="shared" si="220"/>
        <v>0</v>
      </c>
      <c r="AR457" s="294"/>
      <c r="AS457" s="294"/>
      <c r="AT457" s="294"/>
      <c r="AU457" s="294"/>
      <c r="AV457" s="294"/>
      <c r="AW457" s="294"/>
      <c r="AX457" s="294"/>
      <c r="AY457" s="294"/>
      <c r="AZ457" s="294"/>
      <c r="BA457" s="294"/>
      <c r="BB457" s="294"/>
      <c r="BC457" s="294"/>
      <c r="BD457" s="294"/>
      <c r="BE457" s="294"/>
      <c r="BF457" s="294"/>
      <c r="BG457" s="297"/>
      <c r="BH457" s="297"/>
      <c r="BI457" s="297"/>
      <c r="BJ457" s="297"/>
      <c r="BK457" s="297"/>
      <c r="BL457" s="297"/>
      <c r="BM457" s="297"/>
      <c r="BN457" s="297"/>
      <c r="BO457" s="298"/>
      <c r="BP457" s="298"/>
      <c r="BQ457" s="461"/>
      <c r="BR457" s="461"/>
      <c r="BS457" s="285"/>
    </row>
    <row r="458" spans="1:71" s="286" customFormat="1" ht="13.5" hidden="1" outlineLevel="1" x14ac:dyDescent="0.35">
      <c r="A458" s="453"/>
      <c r="B458" s="454"/>
      <c r="C458" s="299" t="s">
        <v>74</v>
      </c>
      <c r="D458" s="299" t="s">
        <v>76</v>
      </c>
      <c r="E458" s="300"/>
      <c r="F458" s="300">
        <f t="shared" si="216"/>
        <v>0</v>
      </c>
      <c r="G458" s="474"/>
      <c r="H458" s="475"/>
      <c r="I458" s="301"/>
      <c r="J458" s="301">
        <f t="shared" si="217"/>
        <v>0</v>
      </c>
      <c r="K458" s="455"/>
      <c r="L458" s="455"/>
      <c r="M458" s="456"/>
      <c r="N458" s="290">
        <f t="shared" si="226"/>
        <v>0</v>
      </c>
      <c r="O458" s="290">
        <f t="shared" si="226"/>
        <v>0</v>
      </c>
      <c r="P458" s="290">
        <f t="shared" si="227"/>
        <v>0</v>
      </c>
      <c r="Q458" s="302">
        <f>Q457</f>
        <v>0</v>
      </c>
      <c r="R458" s="457"/>
      <c r="S458" s="458"/>
      <c r="T458" s="303"/>
      <c r="U458" s="303"/>
      <c r="V458" s="303"/>
      <c r="W458" s="275"/>
      <c r="X458" s="275">
        <f t="shared" si="228"/>
        <v>0</v>
      </c>
      <c r="Y458" s="275"/>
      <c r="Z458" s="303">
        <f>W458+T458</f>
        <v>0</v>
      </c>
      <c r="AA458" s="303">
        <f>X458+U458</f>
        <v>0</v>
      </c>
      <c r="AB458" s="303"/>
      <c r="AC458" s="303"/>
      <c r="AD458" s="303"/>
      <c r="AE458" s="303"/>
      <c r="AF458" s="303"/>
      <c r="AG458" s="275">
        <f t="shared" si="230"/>
        <v>0</v>
      </c>
      <c r="AH458" s="303"/>
      <c r="AI458" s="275">
        <f>AI457</f>
        <v>0</v>
      </c>
      <c r="AJ458" s="275">
        <f>AJ457</f>
        <v>0</v>
      </c>
      <c r="AK458" s="275"/>
      <c r="AL458" s="305" t="e">
        <f>AL457</f>
        <v>#DIV/0!</v>
      </c>
      <c r="AM458" s="306"/>
      <c r="AN458" s="306">
        <f>AF458</f>
        <v>0</v>
      </c>
      <c r="AO458" s="306"/>
      <c r="AP458" s="275">
        <f>AP457</f>
        <v>0</v>
      </c>
      <c r="AQ458" s="275">
        <f t="shared" si="220"/>
        <v>0</v>
      </c>
      <c r="AR458" s="275"/>
      <c r="AS458" s="275"/>
      <c r="AT458" s="275"/>
      <c r="AU458" s="275"/>
      <c r="AV458" s="275"/>
      <c r="AW458" s="275"/>
      <c r="AX458" s="275"/>
      <c r="AY458" s="275"/>
      <c r="AZ458" s="294"/>
      <c r="BA458" s="275"/>
      <c r="BB458" s="275"/>
      <c r="BC458" s="275"/>
      <c r="BD458" s="275"/>
      <c r="BE458" s="275"/>
      <c r="BF458" s="275"/>
      <c r="BG458" s="285"/>
      <c r="BH458" s="285"/>
      <c r="BI458" s="285"/>
      <c r="BJ458" s="285"/>
      <c r="BK458" s="285"/>
      <c r="BL458" s="285"/>
      <c r="BM458" s="285"/>
      <c r="BN458" s="285"/>
      <c r="BQ458" s="461"/>
      <c r="BR458" s="461"/>
      <c r="BS458" s="285"/>
    </row>
    <row r="459" spans="1:71" s="286" customFormat="1" ht="13.5" hidden="1" outlineLevel="1" x14ac:dyDescent="0.35">
      <c r="A459" s="453"/>
      <c r="B459" s="454"/>
      <c r="C459" s="270" t="s">
        <v>72</v>
      </c>
      <c r="D459" s="270" t="s">
        <v>73</v>
      </c>
      <c r="E459" s="271"/>
      <c r="F459" s="271">
        <f t="shared" si="216"/>
        <v>0</v>
      </c>
      <c r="G459" s="474"/>
      <c r="H459" s="475"/>
      <c r="I459" s="272"/>
      <c r="J459" s="272">
        <f t="shared" si="217"/>
        <v>0</v>
      </c>
      <c r="K459" s="455" t="s">
        <v>202</v>
      </c>
      <c r="L459" s="455"/>
      <c r="M459" s="456" t="s">
        <v>113</v>
      </c>
      <c r="N459" s="273">
        <f t="shared" si="226"/>
        <v>0</v>
      </c>
      <c r="O459" s="273">
        <f t="shared" si="226"/>
        <v>0</v>
      </c>
      <c r="P459" s="273">
        <f t="shared" si="227"/>
        <v>0</v>
      </c>
      <c r="Q459" s="274"/>
      <c r="R459" s="457"/>
      <c r="S459" s="458"/>
      <c r="T459" s="276"/>
      <c r="U459" s="276"/>
      <c r="V459" s="276"/>
      <c r="W459" s="277"/>
      <c r="X459" s="277">
        <f t="shared" si="228"/>
        <v>0</v>
      </c>
      <c r="Y459" s="277"/>
      <c r="Z459" s="276">
        <f>T459+W459</f>
        <v>0</v>
      </c>
      <c r="AA459" s="276">
        <f>U459+X459</f>
        <v>0</v>
      </c>
      <c r="AB459" s="276">
        <f>V459+Y459</f>
        <v>0</v>
      </c>
      <c r="AC459" s="276"/>
      <c r="AD459" s="276"/>
      <c r="AE459" s="276"/>
      <c r="AF459" s="276">
        <f>7294-7294</f>
        <v>0</v>
      </c>
      <c r="AG459" s="277">
        <f t="shared" si="230"/>
        <v>0</v>
      </c>
      <c r="AH459" s="276"/>
      <c r="AI459" s="277">
        <f>AF459-($AC$435/$AE$435*$AH$459)+($AC$435/$AE$435*AK459)</f>
        <v>0</v>
      </c>
      <c r="AJ459" s="277">
        <f>AI459*1.12</f>
        <v>0</v>
      </c>
      <c r="AK459" s="280">
        <f>AH459-0</f>
        <v>0</v>
      </c>
      <c r="AL459" s="281" t="e">
        <f>IF($AC$435=0,"",AF459/($AC$435/$AE$435*AH459))</f>
        <v>#DIV/0!</v>
      </c>
      <c r="AM459" s="282"/>
      <c r="AN459" s="282"/>
      <c r="AO459" s="282"/>
      <c r="AP459" s="277"/>
      <c r="AQ459" s="277">
        <f t="shared" si="220"/>
        <v>0</v>
      </c>
      <c r="AR459" s="277">
        <f>S459</f>
        <v>0</v>
      </c>
      <c r="AS459" s="277"/>
      <c r="AT459" s="277">
        <f>AF459-($AC$435/$AE$435*AH459)</f>
        <v>0</v>
      </c>
      <c r="AU459" s="277"/>
      <c r="AV459" s="277"/>
      <c r="AW459" s="277"/>
      <c r="AX459" s="277"/>
      <c r="AY459" s="277"/>
      <c r="AZ459" s="277">
        <f>$AC$435/$AE$435*AK459</f>
        <v>0</v>
      </c>
      <c r="BA459" s="277"/>
      <c r="BB459" s="277"/>
      <c r="BC459" s="277"/>
      <c r="BD459" s="277"/>
      <c r="BE459" s="277"/>
      <c r="BF459" s="277"/>
      <c r="BG459" s="283"/>
      <c r="BH459" s="283"/>
      <c r="BI459" s="283"/>
      <c r="BJ459" s="283"/>
      <c r="BK459" s="283"/>
      <c r="BL459" s="283"/>
      <c r="BM459" s="283"/>
      <c r="BN459" s="283"/>
      <c r="BO459" s="284"/>
      <c r="BP459" s="284"/>
      <c r="BQ459" s="461"/>
      <c r="BR459" s="461"/>
      <c r="BS459" s="285"/>
    </row>
    <row r="460" spans="1:71" s="286" customFormat="1" ht="13.5" hidden="1" outlineLevel="1" x14ac:dyDescent="0.35">
      <c r="A460" s="453"/>
      <c r="B460" s="454"/>
      <c r="C460" s="287" t="s">
        <v>74</v>
      </c>
      <c r="D460" s="287" t="s">
        <v>75</v>
      </c>
      <c r="E460" s="288"/>
      <c r="F460" s="288">
        <f t="shared" si="216"/>
        <v>0</v>
      </c>
      <c r="G460" s="474"/>
      <c r="H460" s="475"/>
      <c r="I460" s="289"/>
      <c r="J460" s="289">
        <f t="shared" si="217"/>
        <v>0</v>
      </c>
      <c r="K460" s="455"/>
      <c r="L460" s="455"/>
      <c r="M460" s="456"/>
      <c r="N460" s="290">
        <f t="shared" si="226"/>
        <v>0</v>
      </c>
      <c r="O460" s="290">
        <f t="shared" si="226"/>
        <v>0</v>
      </c>
      <c r="P460" s="291">
        <f t="shared" si="227"/>
        <v>0</v>
      </c>
      <c r="Q460" s="292">
        <f>Q459</f>
        <v>0</v>
      </c>
      <c r="R460" s="457"/>
      <c r="S460" s="458"/>
      <c r="T460" s="293"/>
      <c r="U460" s="293"/>
      <c r="V460" s="293"/>
      <c r="W460" s="294"/>
      <c r="X460" s="294">
        <f t="shared" si="228"/>
        <v>0</v>
      </c>
      <c r="Y460" s="294"/>
      <c r="Z460" s="293">
        <f>W460+T460</f>
        <v>0</v>
      </c>
      <c r="AA460" s="293">
        <f>X460+U460</f>
        <v>0</v>
      </c>
      <c r="AB460" s="293"/>
      <c r="AC460" s="293"/>
      <c r="AD460" s="293"/>
      <c r="AE460" s="293"/>
      <c r="AF460" s="293">
        <f>AF461</f>
        <v>0</v>
      </c>
      <c r="AG460" s="294">
        <f t="shared" si="230"/>
        <v>0</v>
      </c>
      <c r="AH460" s="293"/>
      <c r="AI460" s="294">
        <f>AF460-($AC$436/$AE$435*$AH$459)+$AC$436/$AE$435*AK459</f>
        <v>0</v>
      </c>
      <c r="AJ460" s="294">
        <f>AI460*1.12</f>
        <v>0</v>
      </c>
      <c r="AK460" s="294"/>
      <c r="AL460" s="295" t="e">
        <f>IF($AC$436=0,"",AF460/($AC$436/$AE$435*AH459))</f>
        <v>#DIV/0!</v>
      </c>
      <c r="AM460" s="296"/>
      <c r="AN460" s="296">
        <f>AF460</f>
        <v>0</v>
      </c>
      <c r="AO460" s="296"/>
      <c r="AP460" s="294">
        <f>AF460</f>
        <v>0</v>
      </c>
      <c r="AQ460" s="294">
        <f t="shared" si="220"/>
        <v>0</v>
      </c>
      <c r="AR460" s="294"/>
      <c r="AS460" s="294"/>
      <c r="AT460" s="294"/>
      <c r="AU460" s="294"/>
      <c r="AV460" s="294"/>
      <c r="AW460" s="294"/>
      <c r="AX460" s="294"/>
      <c r="AY460" s="294"/>
      <c r="AZ460" s="294"/>
      <c r="BA460" s="294"/>
      <c r="BB460" s="294"/>
      <c r="BC460" s="294"/>
      <c r="BD460" s="294"/>
      <c r="BE460" s="294"/>
      <c r="BF460" s="294"/>
      <c r="BG460" s="297"/>
      <c r="BH460" s="297"/>
      <c r="BI460" s="297"/>
      <c r="BJ460" s="297"/>
      <c r="BK460" s="297"/>
      <c r="BL460" s="297"/>
      <c r="BM460" s="297"/>
      <c r="BN460" s="297"/>
      <c r="BO460" s="298"/>
      <c r="BP460" s="298"/>
      <c r="BQ460" s="461"/>
      <c r="BR460" s="461"/>
      <c r="BS460" s="285"/>
    </row>
    <row r="461" spans="1:71" s="286" customFormat="1" ht="13.5" hidden="1" outlineLevel="1" x14ac:dyDescent="0.35">
      <c r="A461" s="453"/>
      <c r="B461" s="454"/>
      <c r="C461" s="299" t="s">
        <v>74</v>
      </c>
      <c r="D461" s="299" t="s">
        <v>76</v>
      </c>
      <c r="E461" s="300"/>
      <c r="F461" s="300">
        <f t="shared" si="216"/>
        <v>0</v>
      </c>
      <c r="G461" s="474"/>
      <c r="H461" s="475"/>
      <c r="I461" s="301"/>
      <c r="J461" s="301">
        <f t="shared" si="217"/>
        <v>0</v>
      </c>
      <c r="K461" s="455"/>
      <c r="L461" s="455"/>
      <c r="M461" s="456"/>
      <c r="N461" s="290">
        <f t="shared" si="226"/>
        <v>0</v>
      </c>
      <c r="O461" s="290">
        <f t="shared" si="226"/>
        <v>0</v>
      </c>
      <c r="P461" s="290">
        <f t="shared" si="227"/>
        <v>0</v>
      </c>
      <c r="Q461" s="302">
        <f>Q460</f>
        <v>0</v>
      </c>
      <c r="R461" s="457"/>
      <c r="S461" s="458"/>
      <c r="T461" s="303"/>
      <c r="U461" s="303"/>
      <c r="V461" s="303"/>
      <c r="W461" s="275"/>
      <c r="X461" s="275">
        <f t="shared" si="228"/>
        <v>0</v>
      </c>
      <c r="Y461" s="275"/>
      <c r="Z461" s="303">
        <f>W461+T461</f>
        <v>0</v>
      </c>
      <c r="AA461" s="303">
        <f>X461+U461</f>
        <v>0</v>
      </c>
      <c r="AB461" s="303"/>
      <c r="AC461" s="303"/>
      <c r="AD461" s="303"/>
      <c r="AE461" s="303"/>
      <c r="AF461" s="303"/>
      <c r="AG461" s="275">
        <f t="shared" si="230"/>
        <v>0</v>
      </c>
      <c r="AH461" s="303"/>
      <c r="AI461" s="275">
        <f>AI460</f>
        <v>0</v>
      </c>
      <c r="AJ461" s="275">
        <f>AJ460</f>
        <v>0</v>
      </c>
      <c r="AK461" s="275"/>
      <c r="AL461" s="305" t="e">
        <f>AL460</f>
        <v>#DIV/0!</v>
      </c>
      <c r="AM461" s="306"/>
      <c r="AN461" s="306">
        <f>AF461</f>
        <v>0</v>
      </c>
      <c r="AO461" s="306"/>
      <c r="AP461" s="275">
        <f>AP460</f>
        <v>0</v>
      </c>
      <c r="AQ461" s="275">
        <f t="shared" si="220"/>
        <v>0</v>
      </c>
      <c r="AR461" s="275"/>
      <c r="AS461" s="275"/>
      <c r="AT461" s="275"/>
      <c r="AU461" s="275"/>
      <c r="AV461" s="275"/>
      <c r="AW461" s="275"/>
      <c r="AX461" s="275"/>
      <c r="AY461" s="275"/>
      <c r="AZ461" s="294"/>
      <c r="BA461" s="275"/>
      <c r="BB461" s="275"/>
      <c r="BC461" s="275"/>
      <c r="BD461" s="275"/>
      <c r="BE461" s="275"/>
      <c r="BF461" s="275"/>
      <c r="BG461" s="285"/>
      <c r="BH461" s="285"/>
      <c r="BI461" s="285"/>
      <c r="BJ461" s="285"/>
      <c r="BK461" s="285"/>
      <c r="BL461" s="285"/>
      <c r="BM461" s="285"/>
      <c r="BN461" s="285"/>
      <c r="BQ461" s="461"/>
      <c r="BR461" s="461"/>
      <c r="BS461" s="285"/>
    </row>
    <row r="462" spans="1:71" s="286" customFormat="1" ht="13.5" hidden="1" outlineLevel="1" x14ac:dyDescent="0.35">
      <c r="A462" s="453"/>
      <c r="B462" s="454"/>
      <c r="C462" s="270" t="s">
        <v>72</v>
      </c>
      <c r="D462" s="270" t="s">
        <v>73</v>
      </c>
      <c r="E462" s="271"/>
      <c r="F462" s="271">
        <f t="shared" si="216"/>
        <v>0</v>
      </c>
      <c r="G462" s="474"/>
      <c r="H462" s="475"/>
      <c r="I462" s="272"/>
      <c r="J462" s="272">
        <f t="shared" si="217"/>
        <v>0</v>
      </c>
      <c r="K462" s="455"/>
      <c r="L462" s="455"/>
      <c r="M462" s="456" t="s">
        <v>113</v>
      </c>
      <c r="N462" s="273">
        <f t="shared" si="226"/>
        <v>0</v>
      </c>
      <c r="O462" s="273">
        <f>Q462</f>
        <v>0</v>
      </c>
      <c r="P462" s="273">
        <f t="shared" si="227"/>
        <v>0</v>
      </c>
      <c r="Q462" s="274"/>
      <c r="R462" s="457"/>
      <c r="S462" s="458"/>
      <c r="T462" s="276"/>
      <c r="U462" s="276"/>
      <c r="V462" s="276"/>
      <c r="W462" s="277"/>
      <c r="X462" s="277">
        <f t="shared" si="228"/>
        <v>0</v>
      </c>
      <c r="Y462" s="277"/>
      <c r="Z462" s="276">
        <f>T462+W462</f>
        <v>0</v>
      </c>
      <c r="AA462" s="276">
        <f>U462+X462</f>
        <v>0</v>
      </c>
      <c r="AB462" s="276">
        <f>V462+Y462</f>
        <v>0</v>
      </c>
      <c r="AC462" s="276"/>
      <c r="AD462" s="276"/>
      <c r="AE462" s="276"/>
      <c r="AF462" s="276"/>
      <c r="AG462" s="277">
        <f t="shared" si="230"/>
        <v>0</v>
      </c>
      <c r="AH462" s="276"/>
      <c r="AI462" s="277">
        <f>AF462-($AC$435/$AE$435*$AH$462)+($AC$435/$AE$435*AK462)</f>
        <v>0</v>
      </c>
      <c r="AJ462" s="277">
        <f>AI462*1.12</f>
        <v>0</v>
      </c>
      <c r="AK462" s="280">
        <f>AH462-0</f>
        <v>0</v>
      </c>
      <c r="AL462" s="281" t="e">
        <f>IF($AC$435=0,"",AF462/($AC$435/$AE$435*AH462))</f>
        <v>#DIV/0!</v>
      </c>
      <c r="AM462" s="282"/>
      <c r="AN462" s="282"/>
      <c r="AO462" s="282"/>
      <c r="AP462" s="277"/>
      <c r="AQ462" s="277">
        <f t="shared" si="220"/>
        <v>0</v>
      </c>
      <c r="AR462" s="277">
        <f>S462</f>
        <v>0</v>
      </c>
      <c r="AS462" s="277"/>
      <c r="AT462" s="277">
        <f>AF462-($AC$435/$AE$435*AH462)</f>
        <v>0</v>
      </c>
      <c r="AU462" s="277"/>
      <c r="AV462" s="277"/>
      <c r="AW462" s="277"/>
      <c r="AX462" s="277"/>
      <c r="AY462" s="277"/>
      <c r="AZ462" s="277">
        <f>$AC$435/$AE$435*AK462</f>
        <v>0</v>
      </c>
      <c r="BA462" s="277"/>
      <c r="BB462" s="277"/>
      <c r="BC462" s="277"/>
      <c r="BD462" s="277"/>
      <c r="BE462" s="277"/>
      <c r="BF462" s="277"/>
      <c r="BG462" s="283"/>
      <c r="BH462" s="283"/>
      <c r="BI462" s="283"/>
      <c r="BJ462" s="283"/>
      <c r="BK462" s="283"/>
      <c r="BL462" s="283"/>
      <c r="BM462" s="283"/>
      <c r="BN462" s="283"/>
      <c r="BO462" s="284"/>
      <c r="BP462" s="284"/>
      <c r="BQ462" s="461"/>
      <c r="BR462" s="461"/>
      <c r="BS462" s="285"/>
    </row>
    <row r="463" spans="1:71" s="286" customFormat="1" ht="13.5" hidden="1" outlineLevel="1" x14ac:dyDescent="0.35">
      <c r="A463" s="453"/>
      <c r="B463" s="454"/>
      <c r="C463" s="287" t="s">
        <v>74</v>
      </c>
      <c r="D463" s="287" t="s">
        <v>75</v>
      </c>
      <c r="E463" s="288"/>
      <c r="F463" s="288">
        <f t="shared" si="216"/>
        <v>0</v>
      </c>
      <c r="G463" s="474"/>
      <c r="H463" s="475"/>
      <c r="I463" s="289"/>
      <c r="J463" s="289">
        <f t="shared" si="217"/>
        <v>0</v>
      </c>
      <c r="K463" s="455"/>
      <c r="L463" s="455"/>
      <c r="M463" s="456"/>
      <c r="N463" s="290">
        <f t="shared" si="226"/>
        <v>0</v>
      </c>
      <c r="O463" s="290">
        <f t="shared" si="226"/>
        <v>0</v>
      </c>
      <c r="P463" s="291">
        <f t="shared" si="227"/>
        <v>0</v>
      </c>
      <c r="Q463" s="292">
        <f>Q462</f>
        <v>0</v>
      </c>
      <c r="R463" s="457"/>
      <c r="S463" s="458"/>
      <c r="T463" s="293"/>
      <c r="U463" s="293"/>
      <c r="V463" s="293"/>
      <c r="W463" s="294"/>
      <c r="X463" s="294">
        <f t="shared" si="228"/>
        <v>0</v>
      </c>
      <c r="Y463" s="294"/>
      <c r="Z463" s="293">
        <f>W463+T463</f>
        <v>0</v>
      </c>
      <c r="AA463" s="293">
        <f>X463+U463</f>
        <v>0</v>
      </c>
      <c r="AB463" s="293"/>
      <c r="AC463" s="293"/>
      <c r="AD463" s="293"/>
      <c r="AE463" s="293"/>
      <c r="AF463" s="293">
        <f>AF464</f>
        <v>0</v>
      </c>
      <c r="AG463" s="294">
        <f t="shared" si="230"/>
        <v>0</v>
      </c>
      <c r="AH463" s="293"/>
      <c r="AI463" s="294">
        <f>AF463-($AC$436/$AE$435*$AH$462)+$AC$436/$AE$435*AK462</f>
        <v>0</v>
      </c>
      <c r="AJ463" s="294">
        <f>AI463*1.12</f>
        <v>0</v>
      </c>
      <c r="AK463" s="294"/>
      <c r="AL463" s="295" t="e">
        <f>IF($AC$436=0,"",AF463/($AC$436/$AE$435*AH462))</f>
        <v>#DIV/0!</v>
      </c>
      <c r="AM463" s="296"/>
      <c r="AN463" s="296">
        <f>AF463</f>
        <v>0</v>
      </c>
      <c r="AO463" s="296"/>
      <c r="AP463" s="294">
        <f>AF463</f>
        <v>0</v>
      </c>
      <c r="AQ463" s="294">
        <f t="shared" si="220"/>
        <v>0</v>
      </c>
      <c r="AR463" s="294"/>
      <c r="AS463" s="294"/>
      <c r="AT463" s="294"/>
      <c r="AU463" s="294"/>
      <c r="AV463" s="294"/>
      <c r="AW463" s="294"/>
      <c r="AX463" s="294"/>
      <c r="AY463" s="294"/>
      <c r="AZ463" s="294"/>
      <c r="BA463" s="294"/>
      <c r="BB463" s="294"/>
      <c r="BC463" s="294"/>
      <c r="BD463" s="294"/>
      <c r="BE463" s="294"/>
      <c r="BF463" s="294"/>
      <c r="BG463" s="297"/>
      <c r="BH463" s="297"/>
      <c r="BI463" s="297"/>
      <c r="BJ463" s="297"/>
      <c r="BK463" s="297"/>
      <c r="BL463" s="297"/>
      <c r="BM463" s="297"/>
      <c r="BN463" s="297"/>
      <c r="BO463" s="298"/>
      <c r="BP463" s="298"/>
      <c r="BQ463" s="461"/>
      <c r="BR463" s="461"/>
      <c r="BS463" s="285"/>
    </row>
    <row r="464" spans="1:71" s="286" customFormat="1" ht="13.5" hidden="1" outlineLevel="1" x14ac:dyDescent="0.35">
      <c r="A464" s="453"/>
      <c r="B464" s="454"/>
      <c r="C464" s="299" t="s">
        <v>74</v>
      </c>
      <c r="D464" s="299" t="s">
        <v>76</v>
      </c>
      <c r="E464" s="300"/>
      <c r="F464" s="300">
        <f t="shared" si="216"/>
        <v>0</v>
      </c>
      <c r="G464" s="474"/>
      <c r="H464" s="475"/>
      <c r="I464" s="301"/>
      <c r="J464" s="301">
        <f t="shared" si="217"/>
        <v>0</v>
      </c>
      <c r="K464" s="455"/>
      <c r="L464" s="455"/>
      <c r="M464" s="456"/>
      <c r="N464" s="290">
        <f t="shared" si="226"/>
        <v>0</v>
      </c>
      <c r="O464" s="290">
        <f t="shared" si="226"/>
        <v>0</v>
      </c>
      <c r="P464" s="290">
        <f t="shared" si="227"/>
        <v>0</v>
      </c>
      <c r="Q464" s="302">
        <f>Q463</f>
        <v>0</v>
      </c>
      <c r="R464" s="457"/>
      <c r="S464" s="458"/>
      <c r="T464" s="303"/>
      <c r="U464" s="303"/>
      <c r="V464" s="303"/>
      <c r="W464" s="275"/>
      <c r="X464" s="275">
        <f t="shared" si="228"/>
        <v>0</v>
      </c>
      <c r="Y464" s="275"/>
      <c r="Z464" s="303">
        <f>W464+T464</f>
        <v>0</v>
      </c>
      <c r="AA464" s="303">
        <f>X464+U464</f>
        <v>0</v>
      </c>
      <c r="AB464" s="303"/>
      <c r="AC464" s="303"/>
      <c r="AD464" s="303"/>
      <c r="AE464" s="303"/>
      <c r="AF464" s="303"/>
      <c r="AG464" s="275">
        <f t="shared" si="230"/>
        <v>0</v>
      </c>
      <c r="AH464" s="303"/>
      <c r="AI464" s="275">
        <f>AI463</f>
        <v>0</v>
      </c>
      <c r="AJ464" s="275">
        <f>AJ463</f>
        <v>0</v>
      </c>
      <c r="AK464" s="275"/>
      <c r="AL464" s="305" t="e">
        <f>AL463</f>
        <v>#DIV/0!</v>
      </c>
      <c r="AM464" s="306"/>
      <c r="AN464" s="306">
        <f>AF464</f>
        <v>0</v>
      </c>
      <c r="AO464" s="306"/>
      <c r="AP464" s="275">
        <f>AP463</f>
        <v>0</v>
      </c>
      <c r="AQ464" s="275">
        <f t="shared" si="220"/>
        <v>0</v>
      </c>
      <c r="AR464" s="275"/>
      <c r="AS464" s="275"/>
      <c r="AT464" s="275"/>
      <c r="AU464" s="275"/>
      <c r="AV464" s="275"/>
      <c r="AW464" s="275"/>
      <c r="AX464" s="275"/>
      <c r="AY464" s="275"/>
      <c r="AZ464" s="294"/>
      <c r="BA464" s="275"/>
      <c r="BB464" s="275"/>
      <c r="BC464" s="275"/>
      <c r="BD464" s="275"/>
      <c r="BE464" s="275"/>
      <c r="BF464" s="275"/>
      <c r="BG464" s="285"/>
      <c r="BH464" s="285"/>
      <c r="BI464" s="285"/>
      <c r="BJ464" s="285"/>
      <c r="BK464" s="285"/>
      <c r="BL464" s="285"/>
      <c r="BM464" s="285"/>
      <c r="BN464" s="285"/>
      <c r="BQ464" s="461"/>
      <c r="BR464" s="461"/>
      <c r="BS464" s="285"/>
    </row>
    <row r="465" spans="1:71" s="286" customFormat="1" ht="13.5" hidden="1" outlineLevel="1" x14ac:dyDescent="0.35">
      <c r="A465" s="453"/>
      <c r="B465" s="454"/>
      <c r="C465" s="270" t="s">
        <v>72</v>
      </c>
      <c r="D465" s="270" t="s">
        <v>73</v>
      </c>
      <c r="E465" s="271"/>
      <c r="F465" s="271">
        <f t="shared" si="216"/>
        <v>0</v>
      </c>
      <c r="G465" s="474"/>
      <c r="H465" s="475"/>
      <c r="I465" s="272"/>
      <c r="J465" s="272">
        <f t="shared" si="217"/>
        <v>0</v>
      </c>
      <c r="K465" s="455"/>
      <c r="L465" s="457"/>
      <c r="M465" s="456" t="s">
        <v>113</v>
      </c>
      <c r="N465" s="273">
        <f>P465</f>
        <v>0</v>
      </c>
      <c r="O465" s="273">
        <f>Q465</f>
        <v>0</v>
      </c>
      <c r="P465" s="273">
        <f t="shared" si="227"/>
        <v>0</v>
      </c>
      <c r="Q465" s="274"/>
      <c r="R465" s="457"/>
      <c r="S465" s="458"/>
      <c r="T465" s="276"/>
      <c r="U465" s="276"/>
      <c r="V465" s="276"/>
      <c r="W465" s="277"/>
      <c r="X465" s="277">
        <f t="shared" si="228"/>
        <v>0</v>
      </c>
      <c r="Y465" s="277"/>
      <c r="Z465" s="276">
        <f>T465+W465</f>
        <v>0</v>
      </c>
      <c r="AA465" s="276">
        <f>U465+X465</f>
        <v>0</v>
      </c>
      <c r="AB465" s="276">
        <f>V465+Y465</f>
        <v>0</v>
      </c>
      <c r="AC465" s="276"/>
      <c r="AD465" s="276"/>
      <c r="AE465" s="276"/>
      <c r="AF465" s="276"/>
      <c r="AG465" s="277">
        <f t="shared" si="230"/>
        <v>0</v>
      </c>
      <c r="AH465" s="276"/>
      <c r="AI465" s="277">
        <f>AF465-($AC$435/$AE$435*$AH$465)+($AC$435/$AE$435*AK465)</f>
        <v>0</v>
      </c>
      <c r="AJ465" s="277">
        <f>AI465*1.12</f>
        <v>0</v>
      </c>
      <c r="AK465" s="280">
        <f>AH465-0</f>
        <v>0</v>
      </c>
      <c r="AL465" s="281" t="e">
        <f>IF($AC$435=0,"",AF465/($AC$435/$AE$435*AH465))</f>
        <v>#DIV/0!</v>
      </c>
      <c r="AM465" s="282"/>
      <c r="AN465" s="282"/>
      <c r="AO465" s="282"/>
      <c r="AP465" s="277"/>
      <c r="AQ465" s="277">
        <f t="shared" si="220"/>
        <v>0</v>
      </c>
      <c r="AR465" s="277">
        <f>S465</f>
        <v>0</v>
      </c>
      <c r="AS465" s="277"/>
      <c r="AT465" s="277">
        <f>AF465-($AC$435/$AE$435*AH465)</f>
        <v>0</v>
      </c>
      <c r="AU465" s="277"/>
      <c r="AV465" s="277"/>
      <c r="AW465" s="277"/>
      <c r="AX465" s="277"/>
      <c r="AY465" s="277"/>
      <c r="AZ465" s="277"/>
      <c r="BA465" s="277"/>
      <c r="BB465" s="277"/>
      <c r="BC465" s="277"/>
      <c r="BD465" s="277"/>
      <c r="BE465" s="277"/>
      <c r="BF465" s="277">
        <f>$AC$435/$AE$435*AK465</f>
        <v>0</v>
      </c>
      <c r="BG465" s="283"/>
      <c r="BH465" s="283"/>
      <c r="BI465" s="283"/>
      <c r="BJ465" s="283"/>
      <c r="BK465" s="283"/>
      <c r="BL465" s="283"/>
      <c r="BM465" s="283"/>
      <c r="BN465" s="283"/>
      <c r="BO465" s="284"/>
      <c r="BP465" s="284"/>
      <c r="BQ465" s="461"/>
      <c r="BR465" s="461"/>
      <c r="BS465" s="285"/>
    </row>
    <row r="466" spans="1:71" s="286" customFormat="1" ht="13.5" hidden="1" outlineLevel="1" x14ac:dyDescent="0.35">
      <c r="A466" s="453"/>
      <c r="B466" s="454"/>
      <c r="C466" s="287" t="s">
        <v>74</v>
      </c>
      <c r="D466" s="287" t="s">
        <v>75</v>
      </c>
      <c r="E466" s="288"/>
      <c r="F466" s="288">
        <f>E466*1.12</f>
        <v>0</v>
      </c>
      <c r="G466" s="474"/>
      <c r="H466" s="475"/>
      <c r="I466" s="289"/>
      <c r="J466" s="289">
        <f>I466*1.12</f>
        <v>0</v>
      </c>
      <c r="K466" s="455"/>
      <c r="L466" s="457"/>
      <c r="M466" s="456"/>
      <c r="N466" s="290">
        <f t="shared" ref="N466:Q467" si="231">N465</f>
        <v>0</v>
      </c>
      <c r="O466" s="290">
        <f t="shared" si="231"/>
        <v>0</v>
      </c>
      <c r="P466" s="291">
        <f t="shared" si="231"/>
        <v>0</v>
      </c>
      <c r="Q466" s="292">
        <f t="shared" si="231"/>
        <v>0</v>
      </c>
      <c r="R466" s="457"/>
      <c r="S466" s="458"/>
      <c r="T466" s="293"/>
      <c r="U466" s="293"/>
      <c r="V466" s="293"/>
      <c r="W466" s="294"/>
      <c r="X466" s="294">
        <f t="shared" si="228"/>
        <v>0</v>
      </c>
      <c r="Y466" s="294"/>
      <c r="Z466" s="293">
        <f>W466+T466</f>
        <v>0</v>
      </c>
      <c r="AA466" s="293">
        <f>X466+U466</f>
        <v>0</v>
      </c>
      <c r="AB466" s="293"/>
      <c r="AC466" s="293"/>
      <c r="AD466" s="293"/>
      <c r="AE466" s="293"/>
      <c r="AF466" s="293">
        <f>AF467</f>
        <v>0</v>
      </c>
      <c r="AG466" s="288">
        <f>AF466*1.12</f>
        <v>0</v>
      </c>
      <c r="AH466" s="293"/>
      <c r="AI466" s="294">
        <f>AF466-($AC$436/$AE$435*$AH$465)+$AC$436/$AE$435*AK465</f>
        <v>0</v>
      </c>
      <c r="AJ466" s="294">
        <f>AI466*1.12</f>
        <v>0</v>
      </c>
      <c r="AK466" s="294"/>
      <c r="AL466" s="295" t="e">
        <f>IF($AC$436=0,"",AF466/($AC$436/$AE$435*AH465))</f>
        <v>#DIV/0!</v>
      </c>
      <c r="AM466" s="296"/>
      <c r="AN466" s="296">
        <f>AF466</f>
        <v>0</v>
      </c>
      <c r="AO466" s="296"/>
      <c r="AP466" s="294"/>
      <c r="AQ466" s="294">
        <f>AP466*1.12</f>
        <v>0</v>
      </c>
      <c r="AR466" s="294"/>
      <c r="AS466" s="294"/>
      <c r="AT466" s="294"/>
      <c r="AU466" s="294"/>
      <c r="AV466" s="294"/>
      <c r="AW466" s="294"/>
      <c r="AX466" s="294"/>
      <c r="AY466" s="294"/>
      <c r="AZ466" s="294"/>
      <c r="BA466" s="294"/>
      <c r="BB466" s="294"/>
      <c r="BC466" s="294"/>
      <c r="BD466" s="294"/>
      <c r="BE466" s="294"/>
      <c r="BF466" s="294"/>
      <c r="BG466" s="297"/>
      <c r="BH466" s="297"/>
      <c r="BI466" s="297"/>
      <c r="BJ466" s="297"/>
      <c r="BK466" s="297"/>
      <c r="BL466" s="297"/>
      <c r="BM466" s="297"/>
      <c r="BN466" s="297"/>
      <c r="BO466" s="298"/>
      <c r="BP466" s="298"/>
      <c r="BQ466" s="461"/>
      <c r="BR466" s="461"/>
      <c r="BS466" s="285"/>
    </row>
    <row r="467" spans="1:71" s="286" customFormat="1" ht="13.5" hidden="1" outlineLevel="1" x14ac:dyDescent="0.35">
      <c r="A467" s="453"/>
      <c r="B467" s="454"/>
      <c r="C467" s="299" t="s">
        <v>74</v>
      </c>
      <c r="D467" s="299" t="s">
        <v>76</v>
      </c>
      <c r="E467" s="300"/>
      <c r="F467" s="300">
        <f>E467*1.12</f>
        <v>0</v>
      </c>
      <c r="G467" s="474"/>
      <c r="H467" s="475"/>
      <c r="I467" s="301"/>
      <c r="J467" s="301">
        <f>I467*1.12</f>
        <v>0</v>
      </c>
      <c r="K467" s="455"/>
      <c r="L467" s="457"/>
      <c r="M467" s="456"/>
      <c r="N467" s="290">
        <f t="shared" si="231"/>
        <v>0</v>
      </c>
      <c r="O467" s="290">
        <f t="shared" si="231"/>
        <v>0</v>
      </c>
      <c r="P467" s="290">
        <f t="shared" si="231"/>
        <v>0</v>
      </c>
      <c r="Q467" s="302">
        <f t="shared" si="231"/>
        <v>0</v>
      </c>
      <c r="R467" s="457"/>
      <c r="S467" s="458"/>
      <c r="T467" s="303"/>
      <c r="U467" s="303"/>
      <c r="V467" s="303"/>
      <c r="W467" s="275"/>
      <c r="X467" s="275">
        <f t="shared" si="228"/>
        <v>0</v>
      </c>
      <c r="Y467" s="275"/>
      <c r="Z467" s="303">
        <f>W467+T467</f>
        <v>0</v>
      </c>
      <c r="AA467" s="303">
        <f>X467+U467</f>
        <v>0</v>
      </c>
      <c r="AB467" s="303"/>
      <c r="AC467" s="303"/>
      <c r="AD467" s="303"/>
      <c r="AE467" s="303"/>
      <c r="AF467" s="303"/>
      <c r="AG467" s="300">
        <f>AF467*1.12</f>
        <v>0</v>
      </c>
      <c r="AH467" s="303"/>
      <c r="AI467" s="275">
        <f>AI466</f>
        <v>0</v>
      </c>
      <c r="AJ467" s="275">
        <f>AJ466</f>
        <v>0</v>
      </c>
      <c r="AK467" s="275"/>
      <c r="AL467" s="305" t="e">
        <f>AL466</f>
        <v>#DIV/0!</v>
      </c>
      <c r="AM467" s="306"/>
      <c r="AN467" s="306">
        <f>AF467</f>
        <v>0</v>
      </c>
      <c r="AO467" s="306"/>
      <c r="AP467" s="275"/>
      <c r="AQ467" s="275">
        <f>AP467*1.12</f>
        <v>0</v>
      </c>
      <c r="AR467" s="275"/>
      <c r="AS467" s="275"/>
      <c r="AT467" s="275"/>
      <c r="AU467" s="275"/>
      <c r="AV467" s="275"/>
      <c r="AW467" s="275"/>
      <c r="AX467" s="275"/>
      <c r="AY467" s="275"/>
      <c r="AZ467" s="294"/>
      <c r="BA467" s="275"/>
      <c r="BB467" s="275"/>
      <c r="BC467" s="275"/>
      <c r="BD467" s="275"/>
      <c r="BE467" s="275"/>
      <c r="BF467" s="275"/>
      <c r="BG467" s="285"/>
      <c r="BH467" s="309"/>
      <c r="BI467" s="309"/>
      <c r="BJ467" s="309"/>
      <c r="BK467" s="309"/>
      <c r="BL467" s="309"/>
      <c r="BM467" s="309"/>
      <c r="BN467" s="309"/>
      <c r="BQ467" s="461"/>
      <c r="BR467" s="461"/>
      <c r="BS467" s="285"/>
    </row>
    <row r="468" spans="1:71" s="286" customFormat="1" ht="17.25" customHeight="1" x14ac:dyDescent="0.35">
      <c r="A468" s="310"/>
      <c r="B468" s="311"/>
      <c r="C468" s="312"/>
      <c r="D468" s="312"/>
      <c r="E468" s="313"/>
      <c r="F468" s="313"/>
      <c r="G468" s="314"/>
      <c r="H468" s="315"/>
      <c r="I468" s="316"/>
      <c r="J468" s="316"/>
      <c r="K468" s="317"/>
      <c r="L468" s="318"/>
      <c r="M468" s="319"/>
      <c r="N468" s="320"/>
      <c r="O468" s="320"/>
      <c r="P468" s="320"/>
      <c r="Q468" s="321"/>
      <c r="R468" s="318"/>
      <c r="S468" s="322"/>
      <c r="T468" s="323"/>
      <c r="U468" s="323"/>
      <c r="V468" s="323"/>
      <c r="W468" s="322"/>
      <c r="X468" s="322"/>
      <c r="Y468" s="322"/>
      <c r="Z468" s="323"/>
      <c r="AA468" s="323"/>
      <c r="AB468" s="323"/>
      <c r="AC468" s="323"/>
      <c r="AD468" s="323"/>
      <c r="AE468" s="323"/>
      <c r="AF468" s="323"/>
      <c r="AG468" s="313"/>
      <c r="AH468" s="323"/>
      <c r="AI468" s="322"/>
      <c r="AJ468" s="322"/>
      <c r="AK468" s="322"/>
      <c r="AL468" s="324"/>
      <c r="AM468" s="325"/>
      <c r="AN468" s="325"/>
      <c r="AO468" s="325"/>
      <c r="AP468" s="322"/>
      <c r="AQ468" s="322"/>
      <c r="AR468" s="322"/>
      <c r="AS468" s="322"/>
      <c r="AT468" s="322"/>
      <c r="AU468" s="322"/>
      <c r="AV468" s="322"/>
      <c r="AW468" s="322"/>
      <c r="AX468" s="322"/>
      <c r="AY468" s="322"/>
      <c r="AZ468" s="326"/>
      <c r="BA468" s="322"/>
      <c r="BB468" s="322"/>
      <c r="BC468" s="322"/>
      <c r="BD468" s="322"/>
      <c r="BE468" s="322"/>
      <c r="BF468" s="322"/>
      <c r="BQ468" s="327"/>
      <c r="BR468" s="327"/>
    </row>
    <row r="469" spans="1:71" s="342" customFormat="1" ht="17.25" hidden="1" customHeight="1" outlineLevel="1" x14ac:dyDescent="0.35">
      <c r="A469" s="449"/>
      <c r="B469" s="451" t="s">
        <v>203</v>
      </c>
      <c r="C469" s="328" t="s">
        <v>72</v>
      </c>
      <c r="D469" s="329" t="s">
        <v>73</v>
      </c>
      <c r="E469" s="330">
        <f>E472+E488</f>
        <v>0</v>
      </c>
      <c r="F469" s="330">
        <f>F472+F488</f>
        <v>0</v>
      </c>
      <c r="G469" s="331"/>
      <c r="H469" s="330"/>
      <c r="I469" s="330">
        <f>I472+I488</f>
        <v>0</v>
      </c>
      <c r="J469" s="330">
        <f>J472+J488</f>
        <v>0</v>
      </c>
      <c r="K469" s="332"/>
      <c r="L469" s="333"/>
      <c r="M469" s="334"/>
      <c r="N469" s="335">
        <f>N472+N488</f>
        <v>0</v>
      </c>
      <c r="O469" s="335">
        <f t="shared" ref="O469:Q470" si="232">O472+O488</f>
        <v>0</v>
      </c>
      <c r="P469" s="335">
        <f t="shared" si="232"/>
        <v>0</v>
      </c>
      <c r="Q469" s="335">
        <f t="shared" si="232"/>
        <v>0</v>
      </c>
      <c r="R469" s="332"/>
      <c r="S469" s="330"/>
      <c r="T469" s="330">
        <f>T472+T488</f>
        <v>0</v>
      </c>
      <c r="U469" s="330">
        <f>U472+U488</f>
        <v>0</v>
      </c>
      <c r="V469" s="336"/>
      <c r="W469" s="330">
        <f>W472+W488</f>
        <v>0</v>
      </c>
      <c r="X469" s="330">
        <f>X472+X488</f>
        <v>0</v>
      </c>
      <c r="Y469" s="336"/>
      <c r="Z469" s="330">
        <f>Z472+Z488</f>
        <v>0</v>
      </c>
      <c r="AA469" s="330">
        <f>AA472+AA488</f>
        <v>0</v>
      </c>
      <c r="AB469" s="336"/>
      <c r="AC469" s="330">
        <f>AC472+AC488</f>
        <v>0</v>
      </c>
      <c r="AD469" s="330">
        <f>AD472+AD488</f>
        <v>0</v>
      </c>
      <c r="AE469" s="336"/>
      <c r="AF469" s="330">
        <f>AF472+AF488</f>
        <v>0</v>
      </c>
      <c r="AG469" s="330">
        <f>AG472+AG488</f>
        <v>0</v>
      </c>
      <c r="AH469" s="336"/>
      <c r="AI469" s="330">
        <f>AI472+AI488</f>
        <v>0</v>
      </c>
      <c r="AJ469" s="330">
        <f>AJ472+AJ488</f>
        <v>0</v>
      </c>
      <c r="AK469" s="330"/>
      <c r="AL469" s="337" t="str">
        <f t="shared" ref="AL469:AL491" si="233">IF(AC469=0,"",AF469/AC469)</f>
        <v/>
      </c>
      <c r="AM469" s="338">
        <f t="shared" ref="AM469:BF470" si="234">AM472+AM488</f>
        <v>0</v>
      </c>
      <c r="AN469" s="338">
        <f t="shared" si="234"/>
        <v>0</v>
      </c>
      <c r="AO469" s="338">
        <f t="shared" si="234"/>
        <v>0</v>
      </c>
      <c r="AP469" s="330">
        <f t="shared" si="234"/>
        <v>0</v>
      </c>
      <c r="AQ469" s="330">
        <f t="shared" si="234"/>
        <v>0</v>
      </c>
      <c r="AR469" s="330">
        <f t="shared" si="234"/>
        <v>0</v>
      </c>
      <c r="AS469" s="330">
        <f t="shared" si="234"/>
        <v>0</v>
      </c>
      <c r="AT469" s="330">
        <f t="shared" si="234"/>
        <v>0</v>
      </c>
      <c r="AU469" s="330">
        <f t="shared" si="234"/>
        <v>0</v>
      </c>
      <c r="AV469" s="330">
        <f t="shared" si="234"/>
        <v>0</v>
      </c>
      <c r="AW469" s="330">
        <f t="shared" si="234"/>
        <v>0</v>
      </c>
      <c r="AX469" s="330">
        <f t="shared" si="234"/>
        <v>0</v>
      </c>
      <c r="AY469" s="330">
        <f t="shared" si="234"/>
        <v>0</v>
      </c>
      <c r="AZ469" s="330">
        <f t="shared" si="234"/>
        <v>0</v>
      </c>
      <c r="BA469" s="330">
        <f t="shared" si="234"/>
        <v>0</v>
      </c>
      <c r="BB469" s="330">
        <f t="shared" si="234"/>
        <v>0</v>
      </c>
      <c r="BC469" s="330">
        <f t="shared" si="234"/>
        <v>0</v>
      </c>
      <c r="BD469" s="330">
        <f t="shared" si="234"/>
        <v>0</v>
      </c>
      <c r="BE469" s="330">
        <f t="shared" si="234"/>
        <v>0</v>
      </c>
      <c r="BF469" s="330">
        <f t="shared" si="234"/>
        <v>0</v>
      </c>
      <c r="BG469" s="337"/>
      <c r="BH469" s="339">
        <f>BH472</f>
        <v>0</v>
      </c>
      <c r="BI469" s="340">
        <f t="shared" ref="BI469:BK470" si="235">BI472+BI488</f>
        <v>0</v>
      </c>
      <c r="BJ469" s="340">
        <f t="shared" si="235"/>
        <v>0</v>
      </c>
      <c r="BK469" s="340">
        <f t="shared" si="235"/>
        <v>0</v>
      </c>
      <c r="BL469" s="339"/>
      <c r="BM469" s="339"/>
      <c r="BN469" s="341"/>
      <c r="BQ469" s="343">
        <f>SUM(AS469:BF469)</f>
        <v>0</v>
      </c>
      <c r="BR469" s="344">
        <f>AI469-BQ469</f>
        <v>0</v>
      </c>
    </row>
    <row r="470" spans="1:71" s="342" customFormat="1" ht="17.25" hidden="1" customHeight="1" outlineLevel="1" x14ac:dyDescent="0.35">
      <c r="A470" s="450"/>
      <c r="B470" s="452"/>
      <c r="C470" s="329" t="s">
        <v>74</v>
      </c>
      <c r="D470" s="329" t="s">
        <v>75</v>
      </c>
      <c r="E470" s="330">
        <f>E473+E489</f>
        <v>0</v>
      </c>
      <c r="F470" s="330">
        <f>F473+F489</f>
        <v>0</v>
      </c>
      <c r="G470" s="331"/>
      <c r="H470" s="330"/>
      <c r="I470" s="330">
        <f>I473+I489</f>
        <v>0</v>
      </c>
      <c r="J470" s="330">
        <f>J473+J489</f>
        <v>0</v>
      </c>
      <c r="K470" s="332"/>
      <c r="L470" s="333"/>
      <c r="M470" s="334"/>
      <c r="N470" s="335">
        <f>N473+N489</f>
        <v>0</v>
      </c>
      <c r="O470" s="335">
        <f t="shared" si="232"/>
        <v>0</v>
      </c>
      <c r="P470" s="335">
        <f t="shared" si="232"/>
        <v>0</v>
      </c>
      <c r="Q470" s="335">
        <f t="shared" si="232"/>
        <v>0</v>
      </c>
      <c r="R470" s="332"/>
      <c r="S470" s="330"/>
      <c r="T470" s="330">
        <f>T473+T489</f>
        <v>0</v>
      </c>
      <c r="U470" s="330">
        <f>U473+U489</f>
        <v>0</v>
      </c>
      <c r="V470" s="336"/>
      <c r="W470" s="330">
        <f>W473+W489</f>
        <v>0</v>
      </c>
      <c r="X470" s="330">
        <f>X473+X489</f>
        <v>0</v>
      </c>
      <c r="Y470" s="336"/>
      <c r="Z470" s="330">
        <f>Z473+Z489</f>
        <v>0</v>
      </c>
      <c r="AA470" s="330">
        <f>AA473+AA489</f>
        <v>0</v>
      </c>
      <c r="AB470" s="336"/>
      <c r="AC470" s="330">
        <f>AC473+AC489</f>
        <v>0</v>
      </c>
      <c r="AD470" s="330">
        <f>AD473+AD489</f>
        <v>0</v>
      </c>
      <c r="AE470" s="336"/>
      <c r="AF470" s="330">
        <f>AF473+AF489</f>
        <v>0</v>
      </c>
      <c r="AG470" s="330">
        <f>AG473+AG489</f>
        <v>0</v>
      </c>
      <c r="AH470" s="336"/>
      <c r="AI470" s="330">
        <f>AI473+AI489</f>
        <v>0</v>
      </c>
      <c r="AJ470" s="330">
        <f>AJ473+AJ489</f>
        <v>0</v>
      </c>
      <c r="AK470" s="330"/>
      <c r="AL470" s="337" t="str">
        <f t="shared" si="233"/>
        <v/>
      </c>
      <c r="AM470" s="338">
        <f t="shared" si="234"/>
        <v>0</v>
      </c>
      <c r="AN470" s="338">
        <f t="shared" si="234"/>
        <v>0</v>
      </c>
      <c r="AO470" s="338">
        <f t="shared" si="234"/>
        <v>0</v>
      </c>
      <c r="AP470" s="330">
        <f t="shared" si="234"/>
        <v>0</v>
      </c>
      <c r="AQ470" s="330">
        <f t="shared" si="234"/>
        <v>-0.48</v>
      </c>
      <c r="AR470" s="330">
        <f t="shared" si="234"/>
        <v>0</v>
      </c>
      <c r="AS470" s="330">
        <f t="shared" si="234"/>
        <v>0</v>
      </c>
      <c r="AT470" s="330">
        <f t="shared" si="234"/>
        <v>0</v>
      </c>
      <c r="AU470" s="330">
        <f t="shared" si="234"/>
        <v>0</v>
      </c>
      <c r="AV470" s="330">
        <f t="shared" si="234"/>
        <v>0</v>
      </c>
      <c r="AW470" s="330">
        <f t="shared" si="234"/>
        <v>0</v>
      </c>
      <c r="AX470" s="330">
        <f t="shared" si="234"/>
        <v>0</v>
      </c>
      <c r="AY470" s="330">
        <f t="shared" si="234"/>
        <v>0</v>
      </c>
      <c r="AZ470" s="330">
        <f t="shared" si="234"/>
        <v>0</v>
      </c>
      <c r="BA470" s="330">
        <f t="shared" si="234"/>
        <v>0</v>
      </c>
      <c r="BB470" s="330">
        <f t="shared" si="234"/>
        <v>0</v>
      </c>
      <c r="BC470" s="330">
        <f t="shared" si="234"/>
        <v>0</v>
      </c>
      <c r="BD470" s="330">
        <f t="shared" si="234"/>
        <v>0</v>
      </c>
      <c r="BE470" s="330">
        <f t="shared" si="234"/>
        <v>0</v>
      </c>
      <c r="BF470" s="330">
        <f t="shared" si="234"/>
        <v>0</v>
      </c>
      <c r="BG470" s="337"/>
      <c r="BH470" s="337">
        <f>BH473</f>
        <v>0</v>
      </c>
      <c r="BI470" s="330">
        <f t="shared" si="235"/>
        <v>0</v>
      </c>
      <c r="BJ470" s="330">
        <f t="shared" si="235"/>
        <v>0</v>
      </c>
      <c r="BK470" s="330">
        <f t="shared" si="235"/>
        <v>0</v>
      </c>
      <c r="BL470" s="337"/>
      <c r="BM470" s="337"/>
      <c r="BN470" s="346"/>
      <c r="BQ470" s="345"/>
      <c r="BR470" s="347"/>
    </row>
    <row r="471" spans="1:71" s="86" customFormat="1" ht="17.25" hidden="1" customHeight="1" outlineLevel="1" x14ac:dyDescent="0.35">
      <c r="A471" s="450"/>
      <c r="B471" s="452"/>
      <c r="C471" s="79" t="s">
        <v>74</v>
      </c>
      <c r="D471" s="79" t="s">
        <v>76</v>
      </c>
      <c r="E471" s="348">
        <f>E473+E489</f>
        <v>0</v>
      </c>
      <c r="F471" s="348">
        <f>F473+F489</f>
        <v>0</v>
      </c>
      <c r="G471" s="349"/>
      <c r="H471" s="348"/>
      <c r="I471" s="348">
        <f>I473+I489</f>
        <v>0</v>
      </c>
      <c r="J471" s="348">
        <f>J473+J489</f>
        <v>0</v>
      </c>
      <c r="K471" s="350"/>
      <c r="L471" s="351"/>
      <c r="M471" s="352"/>
      <c r="N471" s="353">
        <f>N473+N489</f>
        <v>0</v>
      </c>
      <c r="O471" s="353">
        <f>O473+O489</f>
        <v>0</v>
      </c>
      <c r="P471" s="353">
        <f>P473+P489</f>
        <v>0</v>
      </c>
      <c r="Q471" s="353">
        <f>Q473+Q489</f>
        <v>0</v>
      </c>
      <c r="R471" s="350"/>
      <c r="S471" s="348"/>
      <c r="T471" s="348">
        <f>T473+T489</f>
        <v>0</v>
      </c>
      <c r="U471" s="348">
        <f>U473+U489</f>
        <v>0</v>
      </c>
      <c r="V471" s="354"/>
      <c r="W471" s="348">
        <f>W473+W489</f>
        <v>0</v>
      </c>
      <c r="X471" s="348">
        <f>X473+X489</f>
        <v>0</v>
      </c>
      <c r="Y471" s="354"/>
      <c r="Z471" s="348">
        <f>Z473+Z489</f>
        <v>0</v>
      </c>
      <c r="AA471" s="348">
        <f>AA473+AA489</f>
        <v>0</v>
      </c>
      <c r="AB471" s="354"/>
      <c r="AC471" s="348">
        <f>AC473+AC489</f>
        <v>0</v>
      </c>
      <c r="AD471" s="348">
        <f>AD473+AD489</f>
        <v>0</v>
      </c>
      <c r="AE471" s="354"/>
      <c r="AF471" s="348">
        <f>AF473+AF489</f>
        <v>0</v>
      </c>
      <c r="AG471" s="348">
        <f>AG473+AG489</f>
        <v>0</v>
      </c>
      <c r="AH471" s="354"/>
      <c r="AI471" s="348">
        <f>AI473+AI489</f>
        <v>0</v>
      </c>
      <c r="AJ471" s="348">
        <f>AJ473+AJ489</f>
        <v>0</v>
      </c>
      <c r="AK471" s="348"/>
      <c r="AL471" s="355" t="str">
        <f t="shared" si="233"/>
        <v/>
      </c>
      <c r="AM471" s="356">
        <f t="shared" ref="AM471:BF471" si="236">AM473+AM489</f>
        <v>0</v>
      </c>
      <c r="AN471" s="356">
        <f t="shared" si="236"/>
        <v>0</v>
      </c>
      <c r="AO471" s="356">
        <f t="shared" si="236"/>
        <v>0</v>
      </c>
      <c r="AP471" s="348">
        <f t="shared" si="236"/>
        <v>0</v>
      </c>
      <c r="AQ471" s="348">
        <f t="shared" si="236"/>
        <v>-0.48</v>
      </c>
      <c r="AR471" s="348">
        <f t="shared" si="236"/>
        <v>0</v>
      </c>
      <c r="AS471" s="348">
        <f t="shared" si="236"/>
        <v>0</v>
      </c>
      <c r="AT471" s="348">
        <f t="shared" si="236"/>
        <v>0</v>
      </c>
      <c r="AU471" s="348">
        <f t="shared" si="236"/>
        <v>0</v>
      </c>
      <c r="AV471" s="348">
        <f t="shared" si="236"/>
        <v>0</v>
      </c>
      <c r="AW471" s="348">
        <f t="shared" si="236"/>
        <v>0</v>
      </c>
      <c r="AX471" s="348">
        <f t="shared" si="236"/>
        <v>0</v>
      </c>
      <c r="AY471" s="348">
        <f t="shared" si="236"/>
        <v>0</v>
      </c>
      <c r="AZ471" s="348">
        <f t="shared" si="236"/>
        <v>0</v>
      </c>
      <c r="BA471" s="348">
        <f t="shared" si="236"/>
        <v>0</v>
      </c>
      <c r="BB471" s="348">
        <f t="shared" si="236"/>
        <v>0</v>
      </c>
      <c r="BC471" s="348">
        <f t="shared" si="236"/>
        <v>0</v>
      </c>
      <c r="BD471" s="348">
        <f t="shared" si="236"/>
        <v>0</v>
      </c>
      <c r="BE471" s="348">
        <f t="shared" si="236"/>
        <v>0</v>
      </c>
      <c r="BF471" s="348">
        <f t="shared" si="236"/>
        <v>0</v>
      </c>
      <c r="BG471" s="355"/>
      <c r="BH471" s="355">
        <f>BH473</f>
        <v>0</v>
      </c>
      <c r="BI471" s="348">
        <f>BI473+BI489</f>
        <v>0</v>
      </c>
      <c r="BJ471" s="348">
        <f>BJ473+BJ489</f>
        <v>0</v>
      </c>
      <c r="BK471" s="348">
        <f>BK473+BK489</f>
        <v>0</v>
      </c>
      <c r="BL471" s="355"/>
      <c r="BM471" s="355"/>
      <c r="BN471" s="85"/>
      <c r="BQ471" s="87"/>
      <c r="BR471" s="88"/>
    </row>
    <row r="472" spans="1:71" s="103" customFormat="1" ht="27.75" hidden="1" customHeight="1" outlineLevel="1" x14ac:dyDescent="0.35">
      <c r="A472" s="432">
        <v>1</v>
      </c>
      <c r="B472" s="434" t="s">
        <v>204</v>
      </c>
      <c r="C472" s="90" t="s">
        <v>72</v>
      </c>
      <c r="D472" s="90" t="s">
        <v>73</v>
      </c>
      <c r="E472" s="357">
        <f>E474</f>
        <v>0</v>
      </c>
      <c r="F472" s="357">
        <f t="shared" ref="F472:BK473" si="237">F474</f>
        <v>0</v>
      </c>
      <c r="G472" s="358"/>
      <c r="H472" s="357">
        <f t="shared" si="237"/>
        <v>0</v>
      </c>
      <c r="I472" s="359">
        <f t="shared" si="237"/>
        <v>0</v>
      </c>
      <c r="J472" s="359">
        <f t="shared" si="237"/>
        <v>0</v>
      </c>
      <c r="K472" s="94"/>
      <c r="L472" s="360"/>
      <c r="M472" s="361"/>
      <c r="N472" s="362">
        <f t="shared" si="237"/>
        <v>0</v>
      </c>
      <c r="O472" s="362">
        <f t="shared" si="237"/>
        <v>0</v>
      </c>
      <c r="P472" s="362">
        <f>P474</f>
        <v>0</v>
      </c>
      <c r="Q472" s="362">
        <f t="shared" si="237"/>
        <v>0</v>
      </c>
      <c r="R472" s="94">
        <f t="shared" si="237"/>
        <v>0</v>
      </c>
      <c r="S472" s="357"/>
      <c r="T472" s="359">
        <f t="shared" si="237"/>
        <v>0</v>
      </c>
      <c r="U472" s="359">
        <f t="shared" si="237"/>
        <v>0</v>
      </c>
      <c r="V472" s="359"/>
      <c r="W472" s="359">
        <f t="shared" si="237"/>
        <v>0</v>
      </c>
      <c r="X472" s="359">
        <f t="shared" si="237"/>
        <v>0</v>
      </c>
      <c r="Y472" s="359"/>
      <c r="Z472" s="359">
        <f t="shared" si="237"/>
        <v>0</v>
      </c>
      <c r="AA472" s="359">
        <f t="shared" si="237"/>
        <v>0</v>
      </c>
      <c r="AB472" s="359"/>
      <c r="AC472" s="359">
        <f t="shared" si="237"/>
        <v>0</v>
      </c>
      <c r="AD472" s="359">
        <f t="shared" si="237"/>
        <v>0</v>
      </c>
      <c r="AE472" s="359"/>
      <c r="AF472" s="359">
        <f t="shared" si="237"/>
        <v>0</v>
      </c>
      <c r="AG472" s="357">
        <f t="shared" si="237"/>
        <v>0</v>
      </c>
      <c r="AH472" s="359"/>
      <c r="AI472" s="357">
        <f t="shared" si="237"/>
        <v>0</v>
      </c>
      <c r="AJ472" s="357">
        <f t="shared" si="237"/>
        <v>0</v>
      </c>
      <c r="AK472" s="357"/>
      <c r="AL472" s="363" t="str">
        <f t="shared" si="233"/>
        <v/>
      </c>
      <c r="AM472" s="364">
        <f t="shared" ref="AM472:AO473" si="238">AM474</f>
        <v>0</v>
      </c>
      <c r="AN472" s="364">
        <f t="shared" si="238"/>
        <v>0</v>
      </c>
      <c r="AO472" s="364">
        <f t="shared" si="238"/>
        <v>0</v>
      </c>
      <c r="AP472" s="357">
        <f t="shared" si="237"/>
        <v>0</v>
      </c>
      <c r="AQ472" s="357">
        <f t="shared" si="237"/>
        <v>0</v>
      </c>
      <c r="AR472" s="357">
        <f t="shared" si="237"/>
        <v>0</v>
      </c>
      <c r="AS472" s="357">
        <f t="shared" si="237"/>
        <v>0</v>
      </c>
      <c r="AT472" s="357">
        <f t="shared" si="237"/>
        <v>0</v>
      </c>
      <c r="AU472" s="357">
        <f t="shared" si="237"/>
        <v>0</v>
      </c>
      <c r="AV472" s="357">
        <f t="shared" si="237"/>
        <v>0</v>
      </c>
      <c r="AW472" s="357">
        <f t="shared" si="237"/>
        <v>0</v>
      </c>
      <c r="AX472" s="357">
        <f t="shared" si="237"/>
        <v>0</v>
      </c>
      <c r="AY472" s="357">
        <f t="shared" si="237"/>
        <v>0</v>
      </c>
      <c r="AZ472" s="357">
        <f t="shared" si="237"/>
        <v>0</v>
      </c>
      <c r="BA472" s="357">
        <f t="shared" si="237"/>
        <v>0</v>
      </c>
      <c r="BB472" s="357">
        <f t="shared" si="237"/>
        <v>0</v>
      </c>
      <c r="BC472" s="357">
        <f t="shared" si="237"/>
        <v>0</v>
      </c>
      <c r="BD472" s="357">
        <f t="shared" si="237"/>
        <v>0</v>
      </c>
      <c r="BE472" s="357">
        <f t="shared" si="237"/>
        <v>0</v>
      </c>
      <c r="BF472" s="357">
        <f t="shared" si="237"/>
        <v>0</v>
      </c>
      <c r="BG472" s="363"/>
      <c r="BH472" s="363">
        <f t="shared" si="237"/>
        <v>0</v>
      </c>
      <c r="BI472" s="357">
        <f t="shared" si="237"/>
        <v>0</v>
      </c>
      <c r="BJ472" s="357">
        <f t="shared" si="237"/>
        <v>0</v>
      </c>
      <c r="BK472" s="357">
        <f t="shared" si="237"/>
        <v>0</v>
      </c>
      <c r="BL472" s="363"/>
      <c r="BM472" s="363"/>
      <c r="BN472" s="102"/>
      <c r="BQ472" s="29"/>
      <c r="BR472" s="107"/>
    </row>
    <row r="473" spans="1:71" s="103" customFormat="1" ht="27.75" hidden="1" customHeight="1" outlineLevel="1" x14ac:dyDescent="0.35">
      <c r="A473" s="432"/>
      <c r="B473" s="434"/>
      <c r="C473" s="90" t="s">
        <v>74</v>
      </c>
      <c r="D473" s="90" t="s">
        <v>76</v>
      </c>
      <c r="E473" s="357">
        <f>E475</f>
        <v>0</v>
      </c>
      <c r="F473" s="357">
        <f t="shared" si="237"/>
        <v>0</v>
      </c>
      <c r="G473" s="358"/>
      <c r="H473" s="357">
        <f t="shared" si="237"/>
        <v>0</v>
      </c>
      <c r="I473" s="359">
        <f t="shared" si="237"/>
        <v>0</v>
      </c>
      <c r="J473" s="359">
        <f t="shared" si="237"/>
        <v>0</v>
      </c>
      <c r="K473" s="94"/>
      <c r="L473" s="360"/>
      <c r="M473" s="361"/>
      <c r="N473" s="362">
        <f t="shared" si="237"/>
        <v>0</v>
      </c>
      <c r="O473" s="362">
        <f t="shared" si="237"/>
        <v>0</v>
      </c>
      <c r="P473" s="362">
        <f t="shared" si="237"/>
        <v>0</v>
      </c>
      <c r="Q473" s="362">
        <f t="shared" si="237"/>
        <v>0</v>
      </c>
      <c r="R473" s="94">
        <f t="shared" si="237"/>
        <v>0</v>
      </c>
      <c r="S473" s="357"/>
      <c r="T473" s="359">
        <f t="shared" si="237"/>
        <v>0</v>
      </c>
      <c r="U473" s="359">
        <f t="shared" si="237"/>
        <v>0</v>
      </c>
      <c r="V473" s="359"/>
      <c r="W473" s="359">
        <f t="shared" si="237"/>
        <v>0</v>
      </c>
      <c r="X473" s="359">
        <f t="shared" si="237"/>
        <v>0</v>
      </c>
      <c r="Y473" s="359"/>
      <c r="Z473" s="359">
        <f t="shared" si="237"/>
        <v>0</v>
      </c>
      <c r="AA473" s="359">
        <f t="shared" si="237"/>
        <v>0</v>
      </c>
      <c r="AB473" s="359"/>
      <c r="AC473" s="359">
        <f t="shared" si="237"/>
        <v>0</v>
      </c>
      <c r="AD473" s="359">
        <f t="shared" si="237"/>
        <v>0</v>
      </c>
      <c r="AE473" s="359"/>
      <c r="AF473" s="359">
        <f t="shared" si="237"/>
        <v>0</v>
      </c>
      <c r="AG473" s="357">
        <f t="shared" si="237"/>
        <v>0</v>
      </c>
      <c r="AH473" s="359"/>
      <c r="AI473" s="357">
        <f t="shared" si="237"/>
        <v>0</v>
      </c>
      <c r="AJ473" s="357">
        <f t="shared" si="237"/>
        <v>0</v>
      </c>
      <c r="AK473" s="357"/>
      <c r="AL473" s="363" t="str">
        <f t="shared" si="233"/>
        <v/>
      </c>
      <c r="AM473" s="364">
        <f t="shared" si="238"/>
        <v>0</v>
      </c>
      <c r="AN473" s="364">
        <f t="shared" si="238"/>
        <v>0</v>
      </c>
      <c r="AO473" s="364">
        <f t="shared" si="238"/>
        <v>0</v>
      </c>
      <c r="AP473" s="357">
        <f t="shared" si="237"/>
        <v>0</v>
      </c>
      <c r="AQ473" s="357">
        <f>AQ475</f>
        <v>-0.48</v>
      </c>
      <c r="AR473" s="357">
        <f t="shared" si="237"/>
        <v>0</v>
      </c>
      <c r="AS473" s="357">
        <f t="shared" si="237"/>
        <v>0</v>
      </c>
      <c r="AT473" s="357">
        <f t="shared" si="237"/>
        <v>0</v>
      </c>
      <c r="AU473" s="357">
        <f t="shared" si="237"/>
        <v>0</v>
      </c>
      <c r="AV473" s="357">
        <f t="shared" si="237"/>
        <v>0</v>
      </c>
      <c r="AW473" s="357">
        <f t="shared" si="237"/>
        <v>0</v>
      </c>
      <c r="AX473" s="357">
        <f t="shared" si="237"/>
        <v>0</v>
      </c>
      <c r="AY473" s="357">
        <f t="shared" si="237"/>
        <v>0</v>
      </c>
      <c r="AZ473" s="357">
        <f t="shared" si="237"/>
        <v>0</v>
      </c>
      <c r="BA473" s="357">
        <f t="shared" si="237"/>
        <v>0</v>
      </c>
      <c r="BB473" s="357">
        <f t="shared" si="237"/>
        <v>0</v>
      </c>
      <c r="BC473" s="357">
        <f t="shared" si="237"/>
        <v>0</v>
      </c>
      <c r="BD473" s="357">
        <f t="shared" si="237"/>
        <v>0</v>
      </c>
      <c r="BE473" s="357">
        <f t="shared" si="237"/>
        <v>0</v>
      </c>
      <c r="BF473" s="357">
        <f t="shared" si="237"/>
        <v>0</v>
      </c>
      <c r="BG473" s="363"/>
      <c r="BH473" s="363">
        <f t="shared" si="237"/>
        <v>0</v>
      </c>
      <c r="BI473" s="357">
        <f t="shared" si="237"/>
        <v>0</v>
      </c>
      <c r="BJ473" s="357">
        <f t="shared" si="237"/>
        <v>0</v>
      </c>
      <c r="BK473" s="357">
        <f t="shared" si="237"/>
        <v>0</v>
      </c>
      <c r="BL473" s="363"/>
      <c r="BM473" s="363"/>
      <c r="BN473" s="102"/>
      <c r="BQ473" s="29"/>
      <c r="BR473" s="107"/>
    </row>
    <row r="474" spans="1:71" s="103" customFormat="1" ht="30" hidden="1" customHeight="1" outlineLevel="1" x14ac:dyDescent="0.35">
      <c r="A474" s="453"/>
      <c r="B474" s="454"/>
      <c r="C474" s="122" t="s">
        <v>72</v>
      </c>
      <c r="D474" s="122" t="s">
        <v>73</v>
      </c>
      <c r="E474" s="123">
        <f>E476+E478+E480+E482+E484+E486</f>
        <v>0</v>
      </c>
      <c r="F474" s="123">
        <f>F476+F478+F480+F482+F484+F486</f>
        <v>0</v>
      </c>
      <c r="G474" s="258"/>
      <c r="H474" s="185"/>
      <c r="I474" s="123">
        <f>I476+I478+I480+I482+I484+I486</f>
        <v>0</v>
      </c>
      <c r="J474" s="123">
        <f>J476+J478+J480+J482+J484+J486</f>
        <v>0</v>
      </c>
      <c r="K474" s="365"/>
      <c r="L474" s="366"/>
      <c r="M474" s="367"/>
      <c r="N474" s="368">
        <f>N476+N478+N480+N482+N484+N486</f>
        <v>0</v>
      </c>
      <c r="O474" s="368">
        <f>O476+O478+O480+O482+O484+O486</f>
        <v>0</v>
      </c>
      <c r="P474" s="368">
        <f t="shared" ref="P474:BN475" si="239">P476+P478+P480+P482+P484+P486</f>
        <v>0</v>
      </c>
      <c r="Q474" s="368">
        <f t="shared" si="239"/>
        <v>0</v>
      </c>
      <c r="R474" s="369"/>
      <c r="S474" s="123">
        <f t="shared" si="239"/>
        <v>0</v>
      </c>
      <c r="T474" s="124">
        <f t="shared" si="239"/>
        <v>0</v>
      </c>
      <c r="U474" s="124">
        <f t="shared" si="239"/>
        <v>0</v>
      </c>
      <c r="V474" s="124">
        <f t="shared" si="239"/>
        <v>0</v>
      </c>
      <c r="W474" s="124">
        <f t="shared" si="239"/>
        <v>0</v>
      </c>
      <c r="X474" s="124">
        <f t="shared" si="239"/>
        <v>0</v>
      </c>
      <c r="Y474" s="124">
        <f t="shared" si="239"/>
        <v>0</v>
      </c>
      <c r="Z474" s="124">
        <f t="shared" si="239"/>
        <v>0</v>
      </c>
      <c r="AA474" s="124">
        <f t="shared" si="239"/>
        <v>0</v>
      </c>
      <c r="AB474" s="124">
        <f t="shared" si="239"/>
        <v>0</v>
      </c>
      <c r="AC474" s="124">
        <f t="shared" si="239"/>
        <v>0</v>
      </c>
      <c r="AD474" s="124">
        <f t="shared" si="239"/>
        <v>0</v>
      </c>
      <c r="AE474" s="124">
        <f t="shared" si="239"/>
        <v>0</v>
      </c>
      <c r="AF474" s="124">
        <f t="shared" si="239"/>
        <v>0</v>
      </c>
      <c r="AG474" s="123">
        <f t="shared" si="239"/>
        <v>0</v>
      </c>
      <c r="AH474" s="370">
        <f t="shared" si="239"/>
        <v>0</v>
      </c>
      <c r="AI474" s="123">
        <f t="shared" si="239"/>
        <v>0</v>
      </c>
      <c r="AJ474" s="123">
        <f t="shared" si="239"/>
        <v>0</v>
      </c>
      <c r="AK474" s="123">
        <f t="shared" si="239"/>
        <v>0</v>
      </c>
      <c r="AL474" s="128" t="str">
        <f t="shared" si="233"/>
        <v/>
      </c>
      <c r="AM474" s="127">
        <f t="shared" si="239"/>
        <v>0</v>
      </c>
      <c r="AN474" s="127">
        <f t="shared" si="239"/>
        <v>0</v>
      </c>
      <c r="AO474" s="127">
        <f t="shared" si="239"/>
        <v>0</v>
      </c>
      <c r="AP474" s="371">
        <f t="shared" si="239"/>
        <v>0</v>
      </c>
      <c r="AQ474" s="371">
        <f t="shared" si="239"/>
        <v>0</v>
      </c>
      <c r="AR474" s="123">
        <f t="shared" si="239"/>
        <v>0</v>
      </c>
      <c r="AS474" s="123">
        <f t="shared" si="239"/>
        <v>0</v>
      </c>
      <c r="AT474" s="123">
        <f t="shared" si="239"/>
        <v>0</v>
      </c>
      <c r="AU474" s="123">
        <f t="shared" si="239"/>
        <v>0</v>
      </c>
      <c r="AV474" s="123">
        <f t="shared" si="239"/>
        <v>0</v>
      </c>
      <c r="AW474" s="123">
        <f t="shared" si="239"/>
        <v>0</v>
      </c>
      <c r="AX474" s="123">
        <f t="shared" si="239"/>
        <v>0</v>
      </c>
      <c r="AY474" s="123">
        <f t="shared" si="239"/>
        <v>0</v>
      </c>
      <c r="AZ474" s="123">
        <f t="shared" si="239"/>
        <v>0</v>
      </c>
      <c r="BA474" s="123">
        <f t="shared" si="239"/>
        <v>0</v>
      </c>
      <c r="BB474" s="123">
        <f t="shared" si="239"/>
        <v>0</v>
      </c>
      <c r="BC474" s="123">
        <f t="shared" si="239"/>
        <v>0</v>
      </c>
      <c r="BD474" s="123">
        <f t="shared" si="239"/>
        <v>0</v>
      </c>
      <c r="BE474" s="123">
        <f t="shared" si="239"/>
        <v>0</v>
      </c>
      <c r="BF474" s="123">
        <f>AI474</f>
        <v>0</v>
      </c>
      <c r="BG474" s="128" t="s">
        <v>205</v>
      </c>
      <c r="BH474" s="128">
        <f t="shared" si="239"/>
        <v>0</v>
      </c>
      <c r="BI474" s="128">
        <f t="shared" si="239"/>
        <v>0</v>
      </c>
      <c r="BJ474" s="128">
        <f t="shared" si="239"/>
        <v>0</v>
      </c>
      <c r="BK474" s="128">
        <f t="shared" si="239"/>
        <v>0</v>
      </c>
      <c r="BL474" s="128">
        <f t="shared" si="239"/>
        <v>0</v>
      </c>
      <c r="BM474" s="128">
        <f t="shared" si="239"/>
        <v>0</v>
      </c>
      <c r="BN474" s="128">
        <f t="shared" si="239"/>
        <v>0</v>
      </c>
      <c r="BQ474" s="29"/>
      <c r="BR474" s="107"/>
    </row>
    <row r="475" spans="1:71" ht="13.5" hidden="1" customHeight="1" outlineLevel="1" x14ac:dyDescent="0.35">
      <c r="A475" s="453"/>
      <c r="B475" s="454"/>
      <c r="C475" s="129" t="s">
        <v>74</v>
      </c>
      <c r="D475" s="129" t="s">
        <v>76</v>
      </c>
      <c r="E475" s="130">
        <f>E477+E479+E481+E483+E485+E487</f>
        <v>0</v>
      </c>
      <c r="F475" s="130">
        <f>F477+F479+F481+F483+F485+F487</f>
        <v>0</v>
      </c>
      <c r="G475" s="258"/>
      <c r="H475" s="187"/>
      <c r="I475" s="130">
        <f>I477+I479+I481+I483+I485+I487</f>
        <v>0</v>
      </c>
      <c r="J475" s="130">
        <f>J477+J479+J481+J483+J485+J487</f>
        <v>0</v>
      </c>
      <c r="K475" s="372"/>
      <c r="L475" s="373"/>
      <c r="M475" s="142"/>
      <c r="N475" s="374">
        <f>N477+N479+N481+N483+N485+N487</f>
        <v>0</v>
      </c>
      <c r="O475" s="374">
        <f>O477+O479+O481+O483+O485+O487</f>
        <v>0</v>
      </c>
      <c r="P475" s="374">
        <f t="shared" si="239"/>
        <v>0</v>
      </c>
      <c r="Q475" s="374">
        <f>Q477+Q479+Q481+Q483+Q485+Q487</f>
        <v>0</v>
      </c>
      <c r="R475" s="375"/>
      <c r="S475" s="130">
        <f t="shared" si="239"/>
        <v>0</v>
      </c>
      <c r="T475" s="131">
        <f t="shared" si="239"/>
        <v>0</v>
      </c>
      <c r="U475" s="131">
        <f t="shared" si="239"/>
        <v>0</v>
      </c>
      <c r="V475" s="131">
        <f t="shared" si="239"/>
        <v>0</v>
      </c>
      <c r="W475" s="131">
        <f t="shared" si="239"/>
        <v>0</v>
      </c>
      <c r="X475" s="131">
        <f t="shared" si="239"/>
        <v>0</v>
      </c>
      <c r="Y475" s="131">
        <f t="shared" si="239"/>
        <v>0</v>
      </c>
      <c r="Z475" s="131">
        <f>Z477+Z479+Z481+Z483+Z485+Z487</f>
        <v>0</v>
      </c>
      <c r="AA475" s="131">
        <f t="shared" si="239"/>
        <v>0</v>
      </c>
      <c r="AB475" s="131">
        <f t="shared" si="239"/>
        <v>0</v>
      </c>
      <c r="AC475" s="131">
        <f t="shared" si="239"/>
        <v>0</v>
      </c>
      <c r="AD475" s="131">
        <f t="shared" si="239"/>
        <v>0</v>
      </c>
      <c r="AE475" s="131">
        <f t="shared" si="239"/>
        <v>0</v>
      </c>
      <c r="AF475" s="131">
        <f t="shared" si="239"/>
        <v>0</v>
      </c>
      <c r="AG475" s="130">
        <f t="shared" si="239"/>
        <v>0</v>
      </c>
      <c r="AH475" s="131">
        <f t="shared" si="239"/>
        <v>0</v>
      </c>
      <c r="AI475" s="130">
        <f t="shared" si="239"/>
        <v>0</v>
      </c>
      <c r="AJ475" s="130">
        <f t="shared" si="239"/>
        <v>0</v>
      </c>
      <c r="AK475" s="130">
        <f t="shared" si="239"/>
        <v>0</v>
      </c>
      <c r="AL475" s="135" t="str">
        <f t="shared" si="233"/>
        <v/>
      </c>
      <c r="AM475" s="134">
        <f t="shared" si="239"/>
        <v>0</v>
      </c>
      <c r="AN475" s="134">
        <f t="shared" si="239"/>
        <v>0</v>
      </c>
      <c r="AO475" s="134">
        <f t="shared" si="239"/>
        <v>0</v>
      </c>
      <c r="AP475" s="376">
        <f t="shared" si="239"/>
        <v>0</v>
      </c>
      <c r="AQ475" s="376">
        <f>AQ477+AQ479+AQ481+AQ483+AQ485+AQ487</f>
        <v>-0.48</v>
      </c>
      <c r="AR475" s="130">
        <f t="shared" si="239"/>
        <v>0</v>
      </c>
      <c r="AS475" s="130">
        <f t="shared" si="239"/>
        <v>0</v>
      </c>
      <c r="AT475" s="130">
        <f t="shared" si="239"/>
        <v>0</v>
      </c>
      <c r="AU475" s="130">
        <f t="shared" si="239"/>
        <v>0</v>
      </c>
      <c r="AV475" s="130">
        <f t="shared" si="239"/>
        <v>0</v>
      </c>
      <c r="AW475" s="130">
        <f t="shared" si="239"/>
        <v>0</v>
      </c>
      <c r="AX475" s="130">
        <f t="shared" si="239"/>
        <v>0</v>
      </c>
      <c r="AY475" s="130">
        <f t="shared" si="239"/>
        <v>0</v>
      </c>
      <c r="AZ475" s="130">
        <f t="shared" si="239"/>
        <v>0</v>
      </c>
      <c r="BA475" s="130">
        <f t="shared" si="239"/>
        <v>0</v>
      </c>
      <c r="BB475" s="130">
        <f t="shared" si="239"/>
        <v>0</v>
      </c>
      <c r="BC475" s="130">
        <f t="shared" si="239"/>
        <v>0</v>
      </c>
      <c r="BD475" s="130">
        <f t="shared" si="239"/>
        <v>0</v>
      </c>
      <c r="BE475" s="130">
        <f t="shared" si="239"/>
        <v>0</v>
      </c>
      <c r="BF475" s="130">
        <f t="shared" si="239"/>
        <v>0</v>
      </c>
      <c r="BG475" s="135">
        <f t="shared" si="239"/>
        <v>0</v>
      </c>
      <c r="BH475" s="135">
        <f t="shared" si="239"/>
        <v>0</v>
      </c>
      <c r="BI475" s="135">
        <f t="shared" si="239"/>
        <v>0</v>
      </c>
      <c r="BJ475" s="135">
        <f t="shared" si="239"/>
        <v>0</v>
      </c>
      <c r="BK475" s="135">
        <f t="shared" si="239"/>
        <v>0</v>
      </c>
      <c r="BL475" s="135">
        <f t="shared" si="239"/>
        <v>0</v>
      </c>
      <c r="BM475" s="135">
        <f t="shared" si="239"/>
        <v>0</v>
      </c>
      <c r="BN475" s="135">
        <f t="shared" si="239"/>
        <v>0</v>
      </c>
      <c r="BQ475" s="27"/>
      <c r="BR475" s="28"/>
    </row>
    <row r="476" spans="1:71" s="103" customFormat="1" ht="17.25" hidden="1" customHeight="1" outlineLevel="1" x14ac:dyDescent="0.35">
      <c r="A476" s="453"/>
      <c r="B476" s="454"/>
      <c r="C476" s="122" t="s">
        <v>72</v>
      </c>
      <c r="D476" s="122" t="s">
        <v>73</v>
      </c>
      <c r="E476" s="185"/>
      <c r="F476" s="185">
        <f>E476*1.12</f>
        <v>0</v>
      </c>
      <c r="G476" s="258"/>
      <c r="H476" s="185"/>
      <c r="I476" s="189"/>
      <c r="J476" s="189">
        <f>I476*1.12</f>
        <v>0</v>
      </c>
      <c r="K476" s="442"/>
      <c r="L476" s="444"/>
      <c r="M476" s="446" t="s">
        <v>113</v>
      </c>
      <c r="N476" s="368">
        <f>P476</f>
        <v>0</v>
      </c>
      <c r="O476" s="368">
        <f t="shared" ref="O476:O487" si="240">N476*1.12</f>
        <v>0</v>
      </c>
      <c r="P476" s="368"/>
      <c r="Q476" s="368">
        <f t="shared" ref="Q476:Q487" si="241">P476*1.12</f>
        <v>0</v>
      </c>
      <c r="R476" s="442"/>
      <c r="S476" s="448"/>
      <c r="T476" s="124"/>
      <c r="U476" s="124">
        <f t="shared" ref="U476:U487" si="242">T476*1.12</f>
        <v>0</v>
      </c>
      <c r="V476" s="124"/>
      <c r="W476" s="124"/>
      <c r="X476" s="124">
        <f t="shared" ref="X476:X481" si="243">W476*1.12</f>
        <v>0</v>
      </c>
      <c r="Y476" s="124"/>
      <c r="Z476" s="124">
        <f>T476+W476</f>
        <v>0</v>
      </c>
      <c r="AA476" s="124">
        <f>U476+X476</f>
        <v>0</v>
      </c>
      <c r="AB476" s="124"/>
      <c r="AC476" s="124"/>
      <c r="AD476" s="124"/>
      <c r="AE476" s="124"/>
      <c r="AF476" s="124"/>
      <c r="AG476" s="123"/>
      <c r="AH476" s="370"/>
      <c r="AI476" s="123">
        <f t="shared" ref="AI476:AJ487" si="244">AF476-AC476</f>
        <v>0</v>
      </c>
      <c r="AJ476" s="123">
        <f t="shared" si="244"/>
        <v>0</v>
      </c>
      <c r="AK476" s="123"/>
      <c r="AL476" s="126" t="str">
        <f t="shared" si="233"/>
        <v/>
      </c>
      <c r="AM476" s="127"/>
      <c r="AN476" s="127"/>
      <c r="AO476" s="127"/>
      <c r="AP476" s="123">
        <f>P476-Z476</f>
        <v>0</v>
      </c>
      <c r="AQ476" s="123">
        <f>AP476*1.12</f>
        <v>0</v>
      </c>
      <c r="AR476" s="123"/>
      <c r="AS476" s="123"/>
      <c r="AT476" s="123"/>
      <c r="AU476" s="123"/>
      <c r="AV476" s="123"/>
      <c r="AW476" s="123"/>
      <c r="AX476" s="123"/>
      <c r="AY476" s="123"/>
      <c r="AZ476" s="123"/>
      <c r="BA476" s="123"/>
      <c r="BB476" s="123"/>
      <c r="BC476" s="123"/>
      <c r="BD476" s="123"/>
      <c r="BE476" s="123"/>
      <c r="BF476" s="123"/>
      <c r="BG476" s="440" t="s">
        <v>206</v>
      </c>
      <c r="BH476" s="106"/>
      <c r="BI476" s="106"/>
      <c r="BJ476" s="106"/>
      <c r="BK476" s="106"/>
      <c r="BL476" s="106"/>
      <c r="BM476" s="106"/>
      <c r="BN476" s="106"/>
      <c r="BQ476" s="29"/>
      <c r="BR476" s="107"/>
    </row>
    <row r="477" spans="1:71" ht="14.5" hidden="1" outlineLevel="1" x14ac:dyDescent="0.35">
      <c r="A477" s="453"/>
      <c r="B477" s="454"/>
      <c r="C477" s="129" t="s">
        <v>74</v>
      </c>
      <c r="D477" s="129" t="s">
        <v>76</v>
      </c>
      <c r="E477" s="377"/>
      <c r="F477" s="377">
        <f>E477*1.12</f>
        <v>0</v>
      </c>
      <c r="G477" s="36"/>
      <c r="H477" s="377"/>
      <c r="I477" s="378"/>
      <c r="J477" s="378">
        <f>I477*1.12</f>
        <v>0</v>
      </c>
      <c r="K477" s="443"/>
      <c r="L477" s="445"/>
      <c r="M477" s="447"/>
      <c r="N477" s="374">
        <f>P477</f>
        <v>0</v>
      </c>
      <c r="O477" s="374">
        <f t="shared" si="240"/>
        <v>0</v>
      </c>
      <c r="P477" s="374">
        <f>P476</f>
        <v>0</v>
      </c>
      <c r="Q477" s="374">
        <f t="shared" si="241"/>
        <v>0</v>
      </c>
      <c r="R477" s="443"/>
      <c r="S477" s="448"/>
      <c r="T477" s="131"/>
      <c r="U477" s="131">
        <f t="shared" si="242"/>
        <v>0</v>
      </c>
      <c r="V477" s="131"/>
      <c r="W477" s="131"/>
      <c r="X477" s="131">
        <f t="shared" si="243"/>
        <v>0</v>
      </c>
      <c r="Y477" s="131"/>
      <c r="Z477" s="131">
        <f>T477+W477</f>
        <v>0</v>
      </c>
      <c r="AA477" s="131">
        <f>U477+X477</f>
        <v>0</v>
      </c>
      <c r="AB477" s="131"/>
      <c r="AC477" s="131"/>
      <c r="AD477" s="131">
        <f>AC477*1.12</f>
        <v>0</v>
      </c>
      <c r="AE477" s="131"/>
      <c r="AF477" s="131"/>
      <c r="AG477" s="130">
        <f>AF477*1.12</f>
        <v>0</v>
      </c>
      <c r="AH477" s="379"/>
      <c r="AI477" s="130">
        <f t="shared" si="244"/>
        <v>0</v>
      </c>
      <c r="AJ477" s="130">
        <f t="shared" si="244"/>
        <v>0</v>
      </c>
      <c r="AK477" s="130"/>
      <c r="AL477" s="126" t="str">
        <f t="shared" si="233"/>
        <v/>
      </c>
      <c r="AM477" s="134"/>
      <c r="AN477" s="134"/>
      <c r="AO477" s="134"/>
      <c r="AP477" s="130">
        <f>P477-Z477</f>
        <v>0</v>
      </c>
      <c r="AQ477" s="130">
        <f>AP477*1.12-0.48</f>
        <v>-0.48</v>
      </c>
      <c r="AR477" s="130"/>
      <c r="AS477" s="130"/>
      <c r="AT477" s="130"/>
      <c r="AU477" s="130"/>
      <c r="AV477" s="130"/>
      <c r="AW477" s="130"/>
      <c r="AX477" s="130"/>
      <c r="AY477" s="130"/>
      <c r="AZ477" s="130"/>
      <c r="BA477" s="130"/>
      <c r="BB477" s="130"/>
      <c r="BC477" s="130"/>
      <c r="BD477" s="130"/>
      <c r="BE477" s="130"/>
      <c r="BF477" s="130"/>
      <c r="BG477" s="441"/>
      <c r="BH477" s="31"/>
      <c r="BI477" s="31"/>
      <c r="BJ477" s="31"/>
      <c r="BK477" s="31"/>
      <c r="BL477" s="31"/>
      <c r="BM477" s="31"/>
      <c r="BN477" s="31"/>
      <c r="BQ477" s="27"/>
      <c r="BR477" s="28"/>
    </row>
    <row r="478" spans="1:71" s="103" customFormat="1" ht="15" hidden="1" customHeight="1" outlineLevel="1" x14ac:dyDescent="0.3">
      <c r="A478" s="453"/>
      <c r="B478" s="454"/>
      <c r="C478" s="122" t="s">
        <v>72</v>
      </c>
      <c r="D478" s="122" t="s">
        <v>73</v>
      </c>
      <c r="E478" s="380"/>
      <c r="F478" s="380"/>
      <c r="G478" s="381"/>
      <c r="H478" s="380"/>
      <c r="I478" s="382"/>
      <c r="J478" s="382"/>
      <c r="K478" s="442"/>
      <c r="L478" s="444"/>
      <c r="M478" s="446" t="s">
        <v>113</v>
      </c>
      <c r="N478" s="368">
        <f t="shared" ref="N478:N487" si="245">P478</f>
        <v>0</v>
      </c>
      <c r="O478" s="368">
        <f t="shared" si="240"/>
        <v>0</v>
      </c>
      <c r="P478" s="368"/>
      <c r="Q478" s="368">
        <f t="shared" si="241"/>
        <v>0</v>
      </c>
      <c r="R478" s="442"/>
      <c r="S478" s="448"/>
      <c r="T478" s="124"/>
      <c r="U478" s="124">
        <f t="shared" si="242"/>
        <v>0</v>
      </c>
      <c r="V478" s="124"/>
      <c r="W478" s="124"/>
      <c r="X478" s="124">
        <f t="shared" si="243"/>
        <v>0</v>
      </c>
      <c r="Y478" s="124"/>
      <c r="Z478" s="124">
        <f t="shared" ref="Z478:AA487" si="246">T478+W478</f>
        <v>0</v>
      </c>
      <c r="AA478" s="124">
        <f t="shared" si="246"/>
        <v>0</v>
      </c>
      <c r="AB478" s="124"/>
      <c r="AC478" s="124"/>
      <c r="AD478" s="124"/>
      <c r="AE478" s="124"/>
      <c r="AF478" s="124"/>
      <c r="AG478" s="123"/>
      <c r="AH478" s="124"/>
      <c r="AI478" s="123">
        <f t="shared" si="244"/>
        <v>0</v>
      </c>
      <c r="AJ478" s="123">
        <f t="shared" si="244"/>
        <v>0</v>
      </c>
      <c r="AK478" s="123"/>
      <c r="AL478" s="126" t="str">
        <f t="shared" si="233"/>
        <v/>
      </c>
      <c r="AM478" s="127"/>
      <c r="AN478" s="127"/>
      <c r="AO478" s="127"/>
      <c r="AP478" s="123">
        <f>P478-Z478</f>
        <v>0</v>
      </c>
      <c r="AQ478" s="123">
        <f t="shared" ref="AQ478:AQ487" si="247">AP478*1.12</f>
        <v>0</v>
      </c>
      <c r="AR478" s="123"/>
      <c r="AS478" s="123"/>
      <c r="AT478" s="123"/>
      <c r="AU478" s="123"/>
      <c r="AV478" s="123"/>
      <c r="AW478" s="123"/>
      <c r="AX478" s="123"/>
      <c r="AY478" s="123"/>
      <c r="AZ478" s="123"/>
      <c r="BA478" s="123"/>
      <c r="BB478" s="123"/>
      <c r="BC478" s="123"/>
      <c r="BD478" s="123"/>
      <c r="BE478" s="123"/>
      <c r="BF478" s="123"/>
      <c r="BG478" s="440" t="s">
        <v>206</v>
      </c>
      <c r="BH478" s="106"/>
      <c r="BI478" s="106"/>
      <c r="BJ478" s="106"/>
      <c r="BK478" s="106"/>
      <c r="BL478" s="106"/>
      <c r="BM478" s="106"/>
      <c r="BN478" s="106"/>
      <c r="BQ478" s="29"/>
      <c r="BR478" s="107"/>
    </row>
    <row r="479" spans="1:71" ht="14.5" hidden="1" outlineLevel="1" x14ac:dyDescent="0.35">
      <c r="A479" s="453"/>
      <c r="B479" s="454"/>
      <c r="C479" s="129" t="s">
        <v>74</v>
      </c>
      <c r="D479" s="129" t="s">
        <v>76</v>
      </c>
      <c r="E479" s="377"/>
      <c r="F479" s="377"/>
      <c r="G479" s="36"/>
      <c r="H479" s="377"/>
      <c r="I479" s="378"/>
      <c r="J479" s="378"/>
      <c r="K479" s="443"/>
      <c r="L479" s="445"/>
      <c r="M479" s="447"/>
      <c r="N479" s="374">
        <f t="shared" si="245"/>
        <v>0</v>
      </c>
      <c r="O479" s="374">
        <f t="shared" si="240"/>
        <v>0</v>
      </c>
      <c r="P479" s="374">
        <f>P478</f>
        <v>0</v>
      </c>
      <c r="Q479" s="374">
        <f t="shared" si="241"/>
        <v>0</v>
      </c>
      <c r="R479" s="443"/>
      <c r="S479" s="448"/>
      <c r="T479" s="131"/>
      <c r="U479" s="131">
        <f t="shared" si="242"/>
        <v>0</v>
      </c>
      <c r="V479" s="131"/>
      <c r="W479" s="131"/>
      <c r="X479" s="131">
        <f t="shared" si="243"/>
        <v>0</v>
      </c>
      <c r="Y479" s="131"/>
      <c r="Z479" s="131">
        <f t="shared" si="246"/>
        <v>0</v>
      </c>
      <c r="AA479" s="131">
        <f t="shared" si="246"/>
        <v>0</v>
      </c>
      <c r="AB479" s="131"/>
      <c r="AC479" s="131"/>
      <c r="AD479" s="131">
        <f>AC479*1.12</f>
        <v>0</v>
      </c>
      <c r="AE479" s="131"/>
      <c r="AF479" s="131"/>
      <c r="AG479" s="130">
        <f>AF479*1.12</f>
        <v>0</v>
      </c>
      <c r="AH479" s="131"/>
      <c r="AI479" s="130">
        <f t="shared" si="244"/>
        <v>0</v>
      </c>
      <c r="AJ479" s="130">
        <f t="shared" si="244"/>
        <v>0</v>
      </c>
      <c r="AK479" s="130"/>
      <c r="AL479" s="126" t="str">
        <f t="shared" si="233"/>
        <v/>
      </c>
      <c r="AM479" s="134"/>
      <c r="AN479" s="134"/>
      <c r="AO479" s="134"/>
      <c r="AP479" s="130"/>
      <c r="AQ479" s="130">
        <f t="shared" si="247"/>
        <v>0</v>
      </c>
      <c r="AR479" s="130"/>
      <c r="AS479" s="130"/>
      <c r="AT479" s="130"/>
      <c r="AU479" s="130"/>
      <c r="AV479" s="130"/>
      <c r="AW479" s="130"/>
      <c r="AX479" s="130"/>
      <c r="AY479" s="130"/>
      <c r="AZ479" s="130"/>
      <c r="BA479" s="130"/>
      <c r="BB479" s="130"/>
      <c r="BC479" s="130"/>
      <c r="BD479" s="130"/>
      <c r="BE479" s="130"/>
      <c r="BF479" s="130"/>
      <c r="BG479" s="441"/>
      <c r="BH479" s="31"/>
      <c r="BI479" s="31"/>
      <c r="BJ479" s="31"/>
      <c r="BK479" s="31"/>
      <c r="BL479" s="31"/>
      <c r="BM479" s="31"/>
      <c r="BN479" s="31"/>
      <c r="BQ479" s="27"/>
      <c r="BR479" s="28"/>
    </row>
    <row r="480" spans="1:71" s="103" customFormat="1" ht="17.25" hidden="1" customHeight="1" outlineLevel="1" x14ac:dyDescent="0.3">
      <c r="A480" s="453"/>
      <c r="B480" s="454"/>
      <c r="C480" s="122" t="s">
        <v>72</v>
      </c>
      <c r="D480" s="122" t="s">
        <v>73</v>
      </c>
      <c r="E480" s="380"/>
      <c r="F480" s="380"/>
      <c r="G480" s="381"/>
      <c r="H480" s="380"/>
      <c r="I480" s="382"/>
      <c r="J480" s="382"/>
      <c r="K480" s="442"/>
      <c r="L480" s="444"/>
      <c r="M480" s="446" t="s">
        <v>113</v>
      </c>
      <c r="N480" s="368">
        <f t="shared" si="245"/>
        <v>0</v>
      </c>
      <c r="O480" s="368">
        <f t="shared" si="240"/>
        <v>0</v>
      </c>
      <c r="P480" s="368"/>
      <c r="Q480" s="368">
        <f t="shared" si="241"/>
        <v>0</v>
      </c>
      <c r="R480" s="442"/>
      <c r="S480" s="448"/>
      <c r="T480" s="124"/>
      <c r="U480" s="124">
        <f t="shared" si="242"/>
        <v>0</v>
      </c>
      <c r="V480" s="124"/>
      <c r="W480" s="124"/>
      <c r="X480" s="124">
        <f t="shared" si="243"/>
        <v>0</v>
      </c>
      <c r="Y480" s="124"/>
      <c r="Z480" s="124">
        <f t="shared" si="246"/>
        <v>0</v>
      </c>
      <c r="AA480" s="124">
        <f t="shared" si="246"/>
        <v>0</v>
      </c>
      <c r="AB480" s="124"/>
      <c r="AC480" s="124"/>
      <c r="AD480" s="124">
        <f>AC480*1.12</f>
        <v>0</v>
      </c>
      <c r="AE480" s="124"/>
      <c r="AF480" s="124"/>
      <c r="AG480" s="123">
        <f t="shared" ref="AG480:AG487" si="248">AF480*1.12</f>
        <v>0</v>
      </c>
      <c r="AH480" s="370"/>
      <c r="AI480" s="123">
        <f t="shared" si="244"/>
        <v>0</v>
      </c>
      <c r="AJ480" s="123">
        <f t="shared" si="244"/>
        <v>0</v>
      </c>
      <c r="AK480" s="123"/>
      <c r="AL480" s="126" t="str">
        <f t="shared" si="233"/>
        <v/>
      </c>
      <c r="AM480" s="127"/>
      <c r="AN480" s="127"/>
      <c r="AO480" s="127"/>
      <c r="AP480" s="123"/>
      <c r="AQ480" s="123">
        <f t="shared" si="247"/>
        <v>0</v>
      </c>
      <c r="AR480" s="123"/>
      <c r="AS480" s="123"/>
      <c r="AT480" s="123"/>
      <c r="AU480" s="123"/>
      <c r="AV480" s="123"/>
      <c r="AW480" s="123"/>
      <c r="AX480" s="123"/>
      <c r="AY480" s="123"/>
      <c r="AZ480" s="123"/>
      <c r="BA480" s="123"/>
      <c r="BB480" s="123"/>
      <c r="BC480" s="123"/>
      <c r="BD480" s="123"/>
      <c r="BE480" s="123"/>
      <c r="BF480" s="123">
        <f>AI480</f>
        <v>0</v>
      </c>
      <c r="BG480" s="440" t="s">
        <v>206</v>
      </c>
      <c r="BH480" s="106"/>
      <c r="BI480" s="106"/>
      <c r="BJ480" s="106"/>
      <c r="BK480" s="106"/>
      <c r="BL480" s="106"/>
      <c r="BM480" s="106"/>
      <c r="BN480" s="106"/>
      <c r="BQ480" s="29"/>
      <c r="BR480" s="107"/>
    </row>
    <row r="481" spans="1:70" ht="14.5" hidden="1" outlineLevel="1" x14ac:dyDescent="0.35">
      <c r="A481" s="453"/>
      <c r="B481" s="454"/>
      <c r="C481" s="129" t="s">
        <v>74</v>
      </c>
      <c r="D481" s="129" t="s">
        <v>76</v>
      </c>
      <c r="E481" s="377"/>
      <c r="F481" s="377"/>
      <c r="G481" s="36"/>
      <c r="H481" s="377"/>
      <c r="I481" s="378"/>
      <c r="J481" s="378"/>
      <c r="K481" s="443"/>
      <c r="L481" s="445"/>
      <c r="M481" s="447"/>
      <c r="N481" s="374">
        <f t="shared" si="245"/>
        <v>0</v>
      </c>
      <c r="O481" s="374">
        <f t="shared" si="240"/>
        <v>0</v>
      </c>
      <c r="P481" s="374">
        <f>P480</f>
        <v>0</v>
      </c>
      <c r="Q481" s="374">
        <f t="shared" si="241"/>
        <v>0</v>
      </c>
      <c r="R481" s="443"/>
      <c r="S481" s="448"/>
      <c r="T481" s="131"/>
      <c r="U481" s="131">
        <f t="shared" si="242"/>
        <v>0</v>
      </c>
      <c r="V481" s="131"/>
      <c r="W481" s="131"/>
      <c r="X481" s="131">
        <f t="shared" si="243"/>
        <v>0</v>
      </c>
      <c r="Y481" s="131"/>
      <c r="Z481" s="131">
        <f t="shared" si="246"/>
        <v>0</v>
      </c>
      <c r="AA481" s="131">
        <f t="shared" si="246"/>
        <v>0</v>
      </c>
      <c r="AB481" s="131"/>
      <c r="AC481" s="131"/>
      <c r="AD481" s="131"/>
      <c r="AE481" s="131"/>
      <c r="AF481" s="131"/>
      <c r="AG481" s="130">
        <f t="shared" si="248"/>
        <v>0</v>
      </c>
      <c r="AH481" s="39"/>
      <c r="AI481" s="130">
        <f t="shared" si="244"/>
        <v>0</v>
      </c>
      <c r="AJ481" s="130">
        <f t="shared" si="244"/>
        <v>0</v>
      </c>
      <c r="AK481" s="130"/>
      <c r="AL481" s="126" t="str">
        <f t="shared" si="233"/>
        <v/>
      </c>
      <c r="AM481" s="134"/>
      <c r="AN481" s="134"/>
      <c r="AO481" s="134"/>
      <c r="AP481" s="123">
        <f>P481-Z481</f>
        <v>0</v>
      </c>
      <c r="AQ481" s="130">
        <f t="shared" si="247"/>
        <v>0</v>
      </c>
      <c r="AR481" s="130"/>
      <c r="AS481" s="130"/>
      <c r="AT481" s="130"/>
      <c r="AU481" s="130"/>
      <c r="AV481" s="130"/>
      <c r="AW481" s="130"/>
      <c r="AX481" s="130"/>
      <c r="AY481" s="130"/>
      <c r="AZ481" s="130"/>
      <c r="BA481" s="130"/>
      <c r="BB481" s="130"/>
      <c r="BC481" s="130"/>
      <c r="BD481" s="130"/>
      <c r="BE481" s="130"/>
      <c r="BF481" s="130"/>
      <c r="BG481" s="441"/>
      <c r="BH481" s="31"/>
      <c r="BI481" s="31"/>
      <c r="BJ481" s="31"/>
      <c r="BK481" s="31"/>
      <c r="BL481" s="31"/>
      <c r="BM481" s="31"/>
      <c r="BN481" s="31"/>
      <c r="BQ481" s="27"/>
      <c r="BR481" s="28"/>
    </row>
    <row r="482" spans="1:70" s="103" customFormat="1" ht="25.5" hidden="1" customHeight="1" outlineLevel="1" x14ac:dyDescent="0.3">
      <c r="A482" s="453"/>
      <c r="B482" s="454"/>
      <c r="C482" s="122" t="s">
        <v>72</v>
      </c>
      <c r="D482" s="122" t="s">
        <v>73</v>
      </c>
      <c r="E482" s="380"/>
      <c r="F482" s="380"/>
      <c r="G482" s="381"/>
      <c r="H482" s="380"/>
      <c r="I482" s="382"/>
      <c r="J482" s="382"/>
      <c r="K482" s="442"/>
      <c r="L482" s="444"/>
      <c r="M482" s="446" t="s">
        <v>113</v>
      </c>
      <c r="N482" s="368">
        <f t="shared" si="245"/>
        <v>0</v>
      </c>
      <c r="O482" s="368">
        <f t="shared" si="240"/>
        <v>0</v>
      </c>
      <c r="P482" s="368"/>
      <c r="Q482" s="368">
        <f t="shared" si="241"/>
        <v>0</v>
      </c>
      <c r="R482" s="442"/>
      <c r="S482" s="448"/>
      <c r="T482" s="124"/>
      <c r="U482" s="124">
        <f t="shared" si="242"/>
        <v>0</v>
      </c>
      <c r="V482" s="124"/>
      <c r="W482" s="124"/>
      <c r="X482" s="124"/>
      <c r="Y482" s="124"/>
      <c r="Z482" s="124">
        <f t="shared" si="246"/>
        <v>0</v>
      </c>
      <c r="AA482" s="124">
        <f t="shared" si="246"/>
        <v>0</v>
      </c>
      <c r="AB482" s="124"/>
      <c r="AC482" s="124"/>
      <c r="AD482" s="124">
        <f>AC482*1.12</f>
        <v>0</v>
      </c>
      <c r="AE482" s="124"/>
      <c r="AF482" s="124"/>
      <c r="AG482" s="123">
        <f t="shared" si="248"/>
        <v>0</v>
      </c>
      <c r="AH482" s="383"/>
      <c r="AI482" s="123">
        <f t="shared" si="244"/>
        <v>0</v>
      </c>
      <c r="AJ482" s="123">
        <f t="shared" si="244"/>
        <v>0</v>
      </c>
      <c r="AK482" s="123"/>
      <c r="AL482" s="126" t="str">
        <f t="shared" si="233"/>
        <v/>
      </c>
      <c r="AM482" s="127"/>
      <c r="AN482" s="127"/>
      <c r="AO482" s="127"/>
      <c r="AP482" s="123"/>
      <c r="AQ482" s="123">
        <f t="shared" si="247"/>
        <v>0</v>
      </c>
      <c r="AR482" s="123"/>
      <c r="AS482" s="123"/>
      <c r="AT482" s="123"/>
      <c r="AU482" s="123"/>
      <c r="AV482" s="123"/>
      <c r="AW482" s="123"/>
      <c r="AX482" s="123"/>
      <c r="AY482" s="123"/>
      <c r="AZ482" s="123"/>
      <c r="BA482" s="123"/>
      <c r="BB482" s="123"/>
      <c r="BC482" s="123"/>
      <c r="BD482" s="123"/>
      <c r="BE482" s="123"/>
      <c r="BF482" s="123">
        <f>AI482</f>
        <v>0</v>
      </c>
      <c r="BG482" s="440" t="s">
        <v>206</v>
      </c>
      <c r="BH482" s="106"/>
      <c r="BI482" s="106"/>
      <c r="BJ482" s="106"/>
      <c r="BK482" s="106"/>
      <c r="BL482" s="106"/>
      <c r="BM482" s="106"/>
      <c r="BN482" s="106"/>
      <c r="BQ482" s="29"/>
      <c r="BR482" s="107"/>
    </row>
    <row r="483" spans="1:70" ht="25.5" hidden="1" customHeight="1" outlineLevel="1" x14ac:dyDescent="0.35">
      <c r="A483" s="453"/>
      <c r="B483" s="454"/>
      <c r="C483" s="129" t="s">
        <v>74</v>
      </c>
      <c r="D483" s="129" t="s">
        <v>76</v>
      </c>
      <c r="E483" s="377"/>
      <c r="F483" s="377"/>
      <c r="G483" s="36"/>
      <c r="H483" s="377"/>
      <c r="I483" s="378"/>
      <c r="J483" s="378"/>
      <c r="K483" s="443"/>
      <c r="L483" s="445"/>
      <c r="M483" s="447"/>
      <c r="N483" s="374">
        <f t="shared" si="245"/>
        <v>0</v>
      </c>
      <c r="O483" s="374">
        <f t="shared" si="240"/>
        <v>0</v>
      </c>
      <c r="P483" s="374">
        <f>P482</f>
        <v>0</v>
      </c>
      <c r="Q483" s="374">
        <f t="shared" si="241"/>
        <v>0</v>
      </c>
      <c r="R483" s="443"/>
      <c r="S483" s="448"/>
      <c r="T483" s="131"/>
      <c r="U483" s="131">
        <f t="shared" si="242"/>
        <v>0</v>
      </c>
      <c r="V483" s="131"/>
      <c r="W483" s="131"/>
      <c r="X483" s="131">
        <f>W483*1.12</f>
        <v>0</v>
      </c>
      <c r="Y483" s="131"/>
      <c r="Z483" s="131">
        <f t="shared" si="246"/>
        <v>0</v>
      </c>
      <c r="AA483" s="131">
        <f t="shared" si="246"/>
        <v>0</v>
      </c>
      <c r="AB483" s="131"/>
      <c r="AC483" s="131"/>
      <c r="AD483" s="131"/>
      <c r="AE483" s="131"/>
      <c r="AF483" s="131"/>
      <c r="AG483" s="130">
        <f t="shared" si="248"/>
        <v>0</v>
      </c>
      <c r="AH483" s="39"/>
      <c r="AI483" s="130">
        <f t="shared" si="244"/>
        <v>0</v>
      </c>
      <c r="AJ483" s="130">
        <f t="shared" si="244"/>
        <v>0</v>
      </c>
      <c r="AK483" s="130"/>
      <c r="AL483" s="126" t="str">
        <f t="shared" si="233"/>
        <v/>
      </c>
      <c r="AM483" s="134"/>
      <c r="AN483" s="134"/>
      <c r="AO483" s="134"/>
      <c r="AP483" s="130">
        <f>P483-Z483</f>
        <v>0</v>
      </c>
      <c r="AQ483" s="130">
        <f t="shared" si="247"/>
        <v>0</v>
      </c>
      <c r="AR483" s="130"/>
      <c r="AS483" s="130"/>
      <c r="AT483" s="130"/>
      <c r="AU483" s="130"/>
      <c r="AV483" s="130"/>
      <c r="AW483" s="130"/>
      <c r="AX483" s="130"/>
      <c r="AY483" s="130"/>
      <c r="AZ483" s="130"/>
      <c r="BA483" s="130"/>
      <c r="BB483" s="130"/>
      <c r="BC483" s="130"/>
      <c r="BD483" s="130"/>
      <c r="BE483" s="130"/>
      <c r="BF483" s="130"/>
      <c r="BG483" s="441"/>
      <c r="BH483" s="31"/>
      <c r="BI483" s="31"/>
      <c r="BJ483" s="31"/>
      <c r="BK483" s="31"/>
      <c r="BL483" s="31"/>
      <c r="BM483" s="31"/>
      <c r="BN483" s="31"/>
      <c r="BQ483" s="27"/>
      <c r="BR483" s="28"/>
    </row>
    <row r="484" spans="1:70" s="103" customFormat="1" ht="27.75" hidden="1" customHeight="1" outlineLevel="1" x14ac:dyDescent="0.3">
      <c r="A484" s="453"/>
      <c r="B484" s="454"/>
      <c r="C484" s="122" t="s">
        <v>72</v>
      </c>
      <c r="D484" s="122" t="s">
        <v>73</v>
      </c>
      <c r="E484" s="380"/>
      <c r="F484" s="380"/>
      <c r="G484" s="381"/>
      <c r="H484" s="380"/>
      <c r="I484" s="382"/>
      <c r="J484" s="382"/>
      <c r="K484" s="442"/>
      <c r="L484" s="444"/>
      <c r="M484" s="446" t="s">
        <v>113</v>
      </c>
      <c r="N484" s="368">
        <f t="shared" si="245"/>
        <v>0</v>
      </c>
      <c r="O484" s="368">
        <f t="shared" si="240"/>
        <v>0</v>
      </c>
      <c r="P484" s="368"/>
      <c r="Q484" s="368">
        <f t="shared" si="241"/>
        <v>0</v>
      </c>
      <c r="R484" s="442"/>
      <c r="S484" s="448"/>
      <c r="T484" s="124"/>
      <c r="U484" s="124">
        <f t="shared" si="242"/>
        <v>0</v>
      </c>
      <c r="V484" s="124"/>
      <c r="W484" s="124"/>
      <c r="X484" s="124">
        <f>W484*1.12</f>
        <v>0</v>
      </c>
      <c r="Y484" s="124"/>
      <c r="Z484" s="124">
        <f t="shared" si="246"/>
        <v>0</v>
      </c>
      <c r="AA484" s="124">
        <f t="shared" si="246"/>
        <v>0</v>
      </c>
      <c r="AB484" s="124"/>
      <c r="AC484" s="124"/>
      <c r="AD484" s="124"/>
      <c r="AE484" s="124"/>
      <c r="AF484" s="124"/>
      <c r="AG484" s="123">
        <f t="shared" si="248"/>
        <v>0</v>
      </c>
      <c r="AH484" s="370"/>
      <c r="AI484" s="123">
        <f t="shared" si="244"/>
        <v>0</v>
      </c>
      <c r="AJ484" s="123">
        <f t="shared" si="244"/>
        <v>0</v>
      </c>
      <c r="AK484" s="123"/>
      <c r="AL484" s="126" t="str">
        <f t="shared" si="233"/>
        <v/>
      </c>
      <c r="AM484" s="127"/>
      <c r="AN484" s="127"/>
      <c r="AO484" s="127"/>
      <c r="AP484" s="123">
        <f>P484-Z484</f>
        <v>0</v>
      </c>
      <c r="AQ484" s="123">
        <f t="shared" si="247"/>
        <v>0</v>
      </c>
      <c r="AR484" s="123"/>
      <c r="AS484" s="123"/>
      <c r="AT484" s="123"/>
      <c r="AU484" s="123"/>
      <c r="AV484" s="123"/>
      <c r="AW484" s="123"/>
      <c r="AX484" s="123"/>
      <c r="AY484" s="123"/>
      <c r="AZ484" s="123"/>
      <c r="BA484" s="123"/>
      <c r="BB484" s="123"/>
      <c r="BC484" s="123"/>
      <c r="BD484" s="123"/>
      <c r="BE484" s="123"/>
      <c r="BF484" s="123"/>
      <c r="BG484" s="440" t="s">
        <v>206</v>
      </c>
      <c r="BH484" s="106"/>
      <c r="BI484" s="106"/>
      <c r="BJ484" s="106"/>
      <c r="BK484" s="106"/>
      <c r="BL484" s="106"/>
      <c r="BM484" s="106"/>
      <c r="BN484" s="106"/>
      <c r="BQ484" s="29"/>
      <c r="BR484" s="107"/>
    </row>
    <row r="485" spans="1:70" ht="27.75" hidden="1" customHeight="1" outlineLevel="1" x14ac:dyDescent="0.35">
      <c r="A485" s="453"/>
      <c r="B485" s="454"/>
      <c r="C485" s="129" t="s">
        <v>74</v>
      </c>
      <c r="D485" s="129" t="s">
        <v>76</v>
      </c>
      <c r="E485" s="377"/>
      <c r="F485" s="377"/>
      <c r="G485" s="36"/>
      <c r="H485" s="377"/>
      <c r="I485" s="378"/>
      <c r="J485" s="378"/>
      <c r="K485" s="443"/>
      <c r="L485" s="445"/>
      <c r="M485" s="447"/>
      <c r="N485" s="374">
        <f t="shared" si="245"/>
        <v>0</v>
      </c>
      <c r="O485" s="374">
        <f t="shared" si="240"/>
        <v>0</v>
      </c>
      <c r="P485" s="374">
        <f>P484</f>
        <v>0</v>
      </c>
      <c r="Q485" s="374">
        <f t="shared" si="241"/>
        <v>0</v>
      </c>
      <c r="R485" s="443"/>
      <c r="S485" s="448"/>
      <c r="T485" s="131"/>
      <c r="U485" s="131">
        <f t="shared" si="242"/>
        <v>0</v>
      </c>
      <c r="V485" s="131"/>
      <c r="W485" s="131"/>
      <c r="X485" s="131">
        <f>W485*1.12</f>
        <v>0</v>
      </c>
      <c r="Y485" s="131"/>
      <c r="Z485" s="131">
        <f t="shared" si="246"/>
        <v>0</v>
      </c>
      <c r="AA485" s="131">
        <f t="shared" si="246"/>
        <v>0</v>
      </c>
      <c r="AB485" s="131"/>
      <c r="AC485" s="131"/>
      <c r="AD485" s="131"/>
      <c r="AE485" s="131"/>
      <c r="AF485" s="131"/>
      <c r="AG485" s="130">
        <f t="shared" si="248"/>
        <v>0</v>
      </c>
      <c r="AH485" s="379"/>
      <c r="AI485" s="130">
        <f t="shared" si="244"/>
        <v>0</v>
      </c>
      <c r="AJ485" s="130">
        <f t="shared" si="244"/>
        <v>0</v>
      </c>
      <c r="AK485" s="130"/>
      <c r="AL485" s="126" t="str">
        <f t="shared" si="233"/>
        <v/>
      </c>
      <c r="AM485" s="134"/>
      <c r="AN485" s="134"/>
      <c r="AO485" s="134"/>
      <c r="AP485" s="130">
        <f>P485-Z485</f>
        <v>0</v>
      </c>
      <c r="AQ485" s="130">
        <f t="shared" si="247"/>
        <v>0</v>
      </c>
      <c r="AR485" s="130"/>
      <c r="AS485" s="130"/>
      <c r="AT485" s="130"/>
      <c r="AU485" s="130"/>
      <c r="AV485" s="130"/>
      <c r="AW485" s="130"/>
      <c r="AX485" s="130"/>
      <c r="AY485" s="130"/>
      <c r="AZ485" s="130"/>
      <c r="BA485" s="130"/>
      <c r="BB485" s="130"/>
      <c r="BC485" s="130"/>
      <c r="BD485" s="130"/>
      <c r="BE485" s="130"/>
      <c r="BF485" s="130"/>
      <c r="BG485" s="441"/>
      <c r="BH485" s="31"/>
      <c r="BI485" s="31"/>
      <c r="BJ485" s="31"/>
      <c r="BK485" s="31"/>
      <c r="BL485" s="31"/>
      <c r="BM485" s="31"/>
      <c r="BN485" s="31"/>
      <c r="BQ485" s="27"/>
      <c r="BR485" s="28"/>
    </row>
    <row r="486" spans="1:70" s="103" customFormat="1" ht="19.5" hidden="1" customHeight="1" outlineLevel="1" x14ac:dyDescent="0.3">
      <c r="A486" s="453"/>
      <c r="B486" s="454"/>
      <c r="C486" s="122" t="s">
        <v>72</v>
      </c>
      <c r="D486" s="122" t="s">
        <v>73</v>
      </c>
      <c r="E486" s="380"/>
      <c r="F486" s="380"/>
      <c r="G486" s="381"/>
      <c r="H486" s="380"/>
      <c r="I486" s="382"/>
      <c r="J486" s="382"/>
      <c r="K486" s="442"/>
      <c r="L486" s="444"/>
      <c r="M486" s="446" t="s">
        <v>113</v>
      </c>
      <c r="N486" s="368">
        <f t="shared" si="245"/>
        <v>0</v>
      </c>
      <c r="O486" s="368">
        <f t="shared" si="240"/>
        <v>0</v>
      </c>
      <c r="P486" s="368"/>
      <c r="Q486" s="368">
        <f t="shared" si="241"/>
        <v>0</v>
      </c>
      <c r="R486" s="442"/>
      <c r="S486" s="448"/>
      <c r="T486" s="124"/>
      <c r="U486" s="124">
        <f t="shared" si="242"/>
        <v>0</v>
      </c>
      <c r="V486" s="124"/>
      <c r="W486" s="124"/>
      <c r="X486" s="124">
        <f>W486*1.12</f>
        <v>0</v>
      </c>
      <c r="Y486" s="124"/>
      <c r="Z486" s="124">
        <f t="shared" si="246"/>
        <v>0</v>
      </c>
      <c r="AA486" s="124">
        <f t="shared" si="246"/>
        <v>0</v>
      </c>
      <c r="AB486" s="124"/>
      <c r="AC486" s="124"/>
      <c r="AD486" s="124"/>
      <c r="AE486" s="124"/>
      <c r="AF486" s="124"/>
      <c r="AG486" s="123">
        <f t="shared" si="248"/>
        <v>0</v>
      </c>
      <c r="AH486" s="370"/>
      <c r="AI486" s="123">
        <f t="shared" si="244"/>
        <v>0</v>
      </c>
      <c r="AJ486" s="123">
        <f t="shared" si="244"/>
        <v>0</v>
      </c>
      <c r="AK486" s="123"/>
      <c r="AL486" s="126" t="str">
        <f t="shared" si="233"/>
        <v/>
      </c>
      <c r="AM486" s="127"/>
      <c r="AN486" s="127"/>
      <c r="AO486" s="127"/>
      <c r="AP486" s="123">
        <f>P486-Z486</f>
        <v>0</v>
      </c>
      <c r="AQ486" s="123">
        <f t="shared" si="247"/>
        <v>0</v>
      </c>
      <c r="AR486" s="123"/>
      <c r="AS486" s="123"/>
      <c r="AT486" s="123"/>
      <c r="AU486" s="123"/>
      <c r="AV486" s="123"/>
      <c r="AW486" s="123"/>
      <c r="AX486" s="123"/>
      <c r="AY486" s="123"/>
      <c r="AZ486" s="123"/>
      <c r="BA486" s="123"/>
      <c r="BB486" s="123"/>
      <c r="BC486" s="123"/>
      <c r="BD486" s="123"/>
      <c r="BE486" s="123"/>
      <c r="BF486" s="123"/>
      <c r="BG486" s="440" t="s">
        <v>206</v>
      </c>
      <c r="BH486" s="106"/>
      <c r="BI486" s="106"/>
      <c r="BJ486" s="106"/>
      <c r="BK486" s="106"/>
      <c r="BL486" s="106"/>
      <c r="BM486" s="106"/>
      <c r="BN486" s="106"/>
      <c r="BQ486" s="29"/>
      <c r="BR486" s="107"/>
    </row>
    <row r="487" spans="1:70" ht="14.5" hidden="1" outlineLevel="1" x14ac:dyDescent="0.35">
      <c r="A487" s="453"/>
      <c r="B487" s="454"/>
      <c r="C487" s="129" t="s">
        <v>74</v>
      </c>
      <c r="D487" s="129" t="s">
        <v>76</v>
      </c>
      <c r="E487" s="377"/>
      <c r="F487" s="377"/>
      <c r="G487" s="36"/>
      <c r="H487" s="377"/>
      <c r="I487" s="378"/>
      <c r="J487" s="378"/>
      <c r="K487" s="443"/>
      <c r="L487" s="445"/>
      <c r="M487" s="447"/>
      <c r="N487" s="374">
        <f t="shared" si="245"/>
        <v>0</v>
      </c>
      <c r="O487" s="374">
        <f t="shared" si="240"/>
        <v>0</v>
      </c>
      <c r="P487" s="374">
        <f>P486</f>
        <v>0</v>
      </c>
      <c r="Q487" s="374">
        <f t="shared" si="241"/>
        <v>0</v>
      </c>
      <c r="R487" s="443"/>
      <c r="S487" s="448"/>
      <c r="T487" s="384"/>
      <c r="U487" s="131">
        <f t="shared" si="242"/>
        <v>0</v>
      </c>
      <c r="V487" s="384"/>
      <c r="W487" s="131"/>
      <c r="X487" s="131">
        <f>W487*1.12</f>
        <v>0</v>
      </c>
      <c r="Y487" s="384"/>
      <c r="Z487" s="131">
        <f t="shared" si="246"/>
        <v>0</v>
      </c>
      <c r="AA487" s="131">
        <f t="shared" si="246"/>
        <v>0</v>
      </c>
      <c r="AB487" s="384"/>
      <c r="AC487" s="384"/>
      <c r="AD487" s="384"/>
      <c r="AE487" s="384"/>
      <c r="AF487" s="131"/>
      <c r="AG487" s="130">
        <f t="shared" si="248"/>
        <v>0</v>
      </c>
      <c r="AH487" s="379"/>
      <c r="AI487" s="130">
        <f t="shared" si="244"/>
        <v>0</v>
      </c>
      <c r="AJ487" s="130">
        <f t="shared" si="244"/>
        <v>0</v>
      </c>
      <c r="AK487" s="130"/>
      <c r="AL487" s="126" t="str">
        <f t="shared" si="233"/>
        <v/>
      </c>
      <c r="AM487" s="385"/>
      <c r="AN487" s="134"/>
      <c r="AO487" s="385"/>
      <c r="AP487" s="123">
        <f>P487-Z487</f>
        <v>0</v>
      </c>
      <c r="AQ487" s="130">
        <f t="shared" si="247"/>
        <v>0</v>
      </c>
      <c r="AR487" s="386"/>
      <c r="AS487" s="386"/>
      <c r="AT487" s="386"/>
      <c r="AU487" s="386"/>
      <c r="AV487" s="386"/>
      <c r="AW487" s="386"/>
      <c r="AX487" s="386"/>
      <c r="AY487" s="386"/>
      <c r="AZ487" s="386"/>
      <c r="BA487" s="386"/>
      <c r="BB487" s="386"/>
      <c r="BC487" s="386"/>
      <c r="BD487" s="386"/>
      <c r="BE487" s="386"/>
      <c r="BF487" s="386"/>
      <c r="BG487" s="441"/>
      <c r="BH487" s="31"/>
      <c r="BI487" s="31"/>
      <c r="BJ487" s="31"/>
      <c r="BK487" s="31"/>
      <c r="BL487" s="31"/>
      <c r="BM487" s="31"/>
      <c r="BN487" s="31"/>
      <c r="BQ487" s="27"/>
      <c r="BR487" s="28"/>
    </row>
    <row r="488" spans="1:70" s="103" customFormat="1" ht="41.25" hidden="1" customHeight="1" outlineLevel="1" x14ac:dyDescent="0.35">
      <c r="A488" s="432">
        <v>2</v>
      </c>
      <c r="B488" s="434" t="s">
        <v>80</v>
      </c>
      <c r="C488" s="90" t="s">
        <v>72</v>
      </c>
      <c r="D488" s="90" t="s">
        <v>73</v>
      </c>
      <c r="E488" s="357">
        <f>E490</f>
        <v>0</v>
      </c>
      <c r="F488" s="357">
        <f>F490</f>
        <v>0</v>
      </c>
      <c r="G488" s="358"/>
      <c r="H488" s="357"/>
      <c r="I488" s="357">
        <f>I490</f>
        <v>0</v>
      </c>
      <c r="J488" s="357">
        <f>J490</f>
        <v>0</v>
      </c>
      <c r="K488" s="94"/>
      <c r="L488" s="360"/>
      <c r="M488" s="361"/>
      <c r="N488" s="362">
        <f>N490</f>
        <v>0</v>
      </c>
      <c r="O488" s="362">
        <f t="shared" ref="O488:Q489" si="249">O490</f>
        <v>0</v>
      </c>
      <c r="P488" s="362">
        <f t="shared" si="249"/>
        <v>0</v>
      </c>
      <c r="Q488" s="362">
        <f t="shared" si="249"/>
        <v>0</v>
      </c>
      <c r="R488" s="94"/>
      <c r="S488" s="357"/>
      <c r="T488" s="357">
        <f t="shared" ref="T488:BF489" si="250">T490</f>
        <v>0</v>
      </c>
      <c r="U488" s="357">
        <f t="shared" si="250"/>
        <v>0</v>
      </c>
      <c r="V488" s="357"/>
      <c r="W488" s="357">
        <f t="shared" si="250"/>
        <v>0</v>
      </c>
      <c r="X488" s="357">
        <f t="shared" si="250"/>
        <v>0</v>
      </c>
      <c r="Y488" s="357"/>
      <c r="Z488" s="357">
        <f t="shared" si="250"/>
        <v>0</v>
      </c>
      <c r="AA488" s="357">
        <f t="shared" si="250"/>
        <v>0</v>
      </c>
      <c r="AB488" s="357"/>
      <c r="AC488" s="357">
        <f t="shared" si="250"/>
        <v>0</v>
      </c>
      <c r="AD488" s="357">
        <f t="shared" si="250"/>
        <v>0</v>
      </c>
      <c r="AE488" s="357"/>
      <c r="AF488" s="357">
        <f t="shared" si="250"/>
        <v>0</v>
      </c>
      <c r="AG488" s="357">
        <f t="shared" si="250"/>
        <v>0</v>
      </c>
      <c r="AH488" s="357">
        <f t="shared" si="250"/>
        <v>0</v>
      </c>
      <c r="AI488" s="357">
        <f t="shared" si="250"/>
        <v>0</v>
      </c>
      <c r="AJ488" s="357">
        <f t="shared" si="250"/>
        <v>0</v>
      </c>
      <c r="AK488" s="357">
        <f t="shared" si="250"/>
        <v>0</v>
      </c>
      <c r="AL488" s="363" t="str">
        <f t="shared" si="233"/>
        <v/>
      </c>
      <c r="AM488" s="364">
        <f t="shared" si="250"/>
        <v>0</v>
      </c>
      <c r="AN488" s="364">
        <f t="shared" si="250"/>
        <v>0</v>
      </c>
      <c r="AO488" s="364">
        <f t="shared" si="250"/>
        <v>0</v>
      </c>
      <c r="AP488" s="357">
        <f t="shared" si="250"/>
        <v>0</v>
      </c>
      <c r="AQ488" s="357">
        <f t="shared" si="250"/>
        <v>0</v>
      </c>
      <c r="AR488" s="357">
        <f t="shared" si="250"/>
        <v>0</v>
      </c>
      <c r="AS488" s="357">
        <f t="shared" si="250"/>
        <v>0</v>
      </c>
      <c r="AT488" s="357">
        <f t="shared" si="250"/>
        <v>0</v>
      </c>
      <c r="AU488" s="357">
        <f t="shared" si="250"/>
        <v>0</v>
      </c>
      <c r="AV488" s="357">
        <f t="shared" si="250"/>
        <v>0</v>
      </c>
      <c r="AW488" s="357">
        <f t="shared" si="250"/>
        <v>0</v>
      </c>
      <c r="AX488" s="357">
        <f t="shared" si="250"/>
        <v>0</v>
      </c>
      <c r="AY488" s="357">
        <f t="shared" si="250"/>
        <v>0</v>
      </c>
      <c r="AZ488" s="357">
        <f t="shared" si="250"/>
        <v>0</v>
      </c>
      <c r="BA488" s="357">
        <f t="shared" si="250"/>
        <v>0</v>
      </c>
      <c r="BB488" s="357">
        <f t="shared" si="250"/>
        <v>0</v>
      </c>
      <c r="BC488" s="357">
        <f t="shared" si="250"/>
        <v>0</v>
      </c>
      <c r="BD488" s="357">
        <f t="shared" si="250"/>
        <v>0</v>
      </c>
      <c r="BE488" s="357">
        <f t="shared" si="250"/>
        <v>0</v>
      </c>
      <c r="BF488" s="357">
        <f t="shared" si="250"/>
        <v>0</v>
      </c>
      <c r="BG488" s="363"/>
      <c r="BH488" s="363">
        <f t="shared" ref="BH488:BK489" si="251">BH490</f>
        <v>0</v>
      </c>
      <c r="BI488" s="357">
        <f t="shared" si="251"/>
        <v>0</v>
      </c>
      <c r="BJ488" s="357">
        <f t="shared" si="251"/>
        <v>0</v>
      </c>
      <c r="BK488" s="357">
        <f t="shared" si="251"/>
        <v>0</v>
      </c>
      <c r="BL488" s="363"/>
      <c r="BM488" s="363"/>
      <c r="BN488" s="102"/>
      <c r="BQ488" s="29"/>
      <c r="BR488" s="107"/>
    </row>
    <row r="489" spans="1:70" s="103" customFormat="1" ht="41.25" hidden="1" customHeight="1" outlineLevel="1" x14ac:dyDescent="0.35">
      <c r="A489" s="433"/>
      <c r="B489" s="435"/>
      <c r="C489" s="387" t="s">
        <v>74</v>
      </c>
      <c r="D489" s="387" t="s">
        <v>76</v>
      </c>
      <c r="E489" s="388">
        <f>E491</f>
        <v>0</v>
      </c>
      <c r="F489" s="388">
        <f>F491</f>
        <v>0</v>
      </c>
      <c r="G489" s="389"/>
      <c r="H489" s="388"/>
      <c r="I489" s="388">
        <f>I491</f>
        <v>0</v>
      </c>
      <c r="J489" s="388">
        <f>J491</f>
        <v>0</v>
      </c>
      <c r="K489" s="390"/>
      <c r="L489" s="391"/>
      <c r="M489" s="392"/>
      <c r="N489" s="393">
        <f>N491</f>
        <v>0</v>
      </c>
      <c r="O489" s="393">
        <f t="shared" si="249"/>
        <v>0</v>
      </c>
      <c r="P489" s="393">
        <f t="shared" si="249"/>
        <v>0</v>
      </c>
      <c r="Q489" s="393">
        <f t="shared" si="249"/>
        <v>0</v>
      </c>
      <c r="R489" s="390"/>
      <c r="S489" s="388"/>
      <c r="T489" s="388">
        <f t="shared" si="250"/>
        <v>0</v>
      </c>
      <c r="U489" s="388">
        <f t="shared" si="250"/>
        <v>0</v>
      </c>
      <c r="V489" s="388"/>
      <c r="W489" s="388">
        <f t="shared" si="250"/>
        <v>0</v>
      </c>
      <c r="X489" s="388">
        <f t="shared" si="250"/>
        <v>0</v>
      </c>
      <c r="Y489" s="388"/>
      <c r="Z489" s="388">
        <f t="shared" si="250"/>
        <v>0</v>
      </c>
      <c r="AA489" s="388">
        <f t="shared" si="250"/>
        <v>0</v>
      </c>
      <c r="AB489" s="388"/>
      <c r="AC489" s="388">
        <f t="shared" si="250"/>
        <v>0</v>
      </c>
      <c r="AD489" s="388">
        <f t="shared" si="250"/>
        <v>0</v>
      </c>
      <c r="AE489" s="388"/>
      <c r="AF489" s="388">
        <f t="shared" si="250"/>
        <v>0</v>
      </c>
      <c r="AG489" s="388">
        <f t="shared" si="250"/>
        <v>0</v>
      </c>
      <c r="AH489" s="388">
        <f t="shared" si="250"/>
        <v>0</v>
      </c>
      <c r="AI489" s="388">
        <f t="shared" si="250"/>
        <v>0</v>
      </c>
      <c r="AJ489" s="388">
        <f t="shared" si="250"/>
        <v>0</v>
      </c>
      <c r="AK489" s="388">
        <f t="shared" si="250"/>
        <v>0</v>
      </c>
      <c r="AL489" s="363" t="str">
        <f t="shared" si="233"/>
        <v/>
      </c>
      <c r="AM489" s="394">
        <f t="shared" si="250"/>
        <v>0</v>
      </c>
      <c r="AN489" s="394">
        <f t="shared" si="250"/>
        <v>0</v>
      </c>
      <c r="AO489" s="394">
        <f t="shared" si="250"/>
        <v>0</v>
      </c>
      <c r="AP489" s="388">
        <f t="shared" si="250"/>
        <v>0</v>
      </c>
      <c r="AQ489" s="388">
        <f t="shared" si="250"/>
        <v>0</v>
      </c>
      <c r="AR489" s="388">
        <f t="shared" si="250"/>
        <v>0</v>
      </c>
      <c r="AS489" s="388">
        <f t="shared" si="250"/>
        <v>0</v>
      </c>
      <c r="AT489" s="388">
        <f t="shared" si="250"/>
        <v>0</v>
      </c>
      <c r="AU489" s="388">
        <f t="shared" si="250"/>
        <v>0</v>
      </c>
      <c r="AV489" s="388">
        <f t="shared" si="250"/>
        <v>0</v>
      </c>
      <c r="AW489" s="388">
        <f t="shared" si="250"/>
        <v>0</v>
      </c>
      <c r="AX489" s="388">
        <f t="shared" si="250"/>
        <v>0</v>
      </c>
      <c r="AY489" s="388">
        <f t="shared" si="250"/>
        <v>0</v>
      </c>
      <c r="AZ489" s="388">
        <f t="shared" si="250"/>
        <v>0</v>
      </c>
      <c r="BA489" s="388">
        <f t="shared" si="250"/>
        <v>0</v>
      </c>
      <c r="BB489" s="388">
        <f t="shared" si="250"/>
        <v>0</v>
      </c>
      <c r="BC489" s="388">
        <f t="shared" si="250"/>
        <v>0</v>
      </c>
      <c r="BD489" s="388">
        <f t="shared" si="250"/>
        <v>0</v>
      </c>
      <c r="BE489" s="388">
        <f t="shared" si="250"/>
        <v>0</v>
      </c>
      <c r="BF489" s="388">
        <f t="shared" si="250"/>
        <v>0</v>
      </c>
      <c r="BG489" s="395"/>
      <c r="BH489" s="395">
        <f t="shared" si="251"/>
        <v>0</v>
      </c>
      <c r="BI489" s="388">
        <f t="shared" si="251"/>
        <v>0</v>
      </c>
      <c r="BJ489" s="388">
        <f t="shared" si="251"/>
        <v>0</v>
      </c>
      <c r="BK489" s="388">
        <f t="shared" si="251"/>
        <v>0</v>
      </c>
      <c r="BL489" s="395"/>
      <c r="BM489" s="395"/>
      <c r="BN489" s="396"/>
      <c r="BQ489" s="397"/>
      <c r="BR489" s="398"/>
    </row>
    <row r="490" spans="1:70" s="103" customFormat="1" ht="21" hidden="1" customHeight="1" outlineLevel="1" x14ac:dyDescent="0.35">
      <c r="A490" s="106"/>
      <c r="B490" s="436"/>
      <c r="C490" s="122" t="s">
        <v>72</v>
      </c>
      <c r="D490" s="122" t="s">
        <v>73</v>
      </c>
      <c r="E490" s="124"/>
      <c r="F490" s="124">
        <f>E490*1.12</f>
        <v>0</v>
      </c>
      <c r="G490" s="438"/>
      <c r="H490" s="399"/>
      <c r="I490" s="124"/>
      <c r="J490" s="124">
        <f>I490*1.12</f>
        <v>0</v>
      </c>
      <c r="K490" s="400"/>
      <c r="L490" s="122"/>
      <c r="M490" s="29"/>
      <c r="N490" s="125">
        <f>P490</f>
        <v>0</v>
      </c>
      <c r="O490" s="125">
        <f>N490*1.12</f>
        <v>0</v>
      </c>
      <c r="P490" s="125"/>
      <c r="Q490" s="125">
        <f>P490*1.12</f>
        <v>0</v>
      </c>
      <c r="R490" s="401"/>
      <c r="S490" s="399"/>
      <c r="T490" s="124"/>
      <c r="U490" s="124">
        <f>T490*1.12</f>
        <v>0</v>
      </c>
      <c r="V490" s="260"/>
      <c r="W490" s="124"/>
      <c r="X490" s="124">
        <f>W490*1.12</f>
        <v>0</v>
      </c>
      <c r="Y490" s="260"/>
      <c r="Z490" s="124">
        <f>T490+W490</f>
        <v>0</v>
      </c>
      <c r="AA490" s="124">
        <f>U490+X490</f>
        <v>0</v>
      </c>
      <c r="AB490" s="260"/>
      <c r="AC490" s="124"/>
      <c r="AD490" s="124">
        <f>AC490*1.12</f>
        <v>0</v>
      </c>
      <c r="AE490" s="260"/>
      <c r="AF490" s="124"/>
      <c r="AG490" s="123">
        <f>AF490*1.12</f>
        <v>0</v>
      </c>
      <c r="AH490" s="260"/>
      <c r="AI490" s="123">
        <f>AF490-AC490</f>
        <v>0</v>
      </c>
      <c r="AJ490" s="123">
        <f>AG490-AD490</f>
        <v>0</v>
      </c>
      <c r="AK490" s="123"/>
      <c r="AL490" s="126" t="str">
        <f t="shared" si="233"/>
        <v/>
      </c>
      <c r="AM490" s="127"/>
      <c r="AN490" s="127"/>
      <c r="AO490" s="127"/>
      <c r="AP490" s="123"/>
      <c r="AQ490" s="123">
        <f>AP490*1.12</f>
        <v>0</v>
      </c>
      <c r="AR490" s="123"/>
      <c r="AS490" s="123"/>
      <c r="AT490" s="123"/>
      <c r="AU490" s="123"/>
      <c r="AV490" s="123"/>
      <c r="AW490" s="123"/>
      <c r="AX490" s="123"/>
      <c r="AY490" s="123"/>
      <c r="AZ490" s="123"/>
      <c r="BA490" s="123"/>
      <c r="BB490" s="123"/>
      <c r="BC490" s="123"/>
      <c r="BD490" s="123"/>
      <c r="BE490" s="123"/>
      <c r="BF490" s="123">
        <f>AF490-AC490</f>
        <v>0</v>
      </c>
      <c r="BG490" s="440" t="s">
        <v>206</v>
      </c>
      <c r="BH490" s="106"/>
      <c r="BI490" s="106"/>
      <c r="BJ490" s="106"/>
      <c r="BK490" s="106"/>
      <c r="BL490" s="106"/>
      <c r="BM490" s="106"/>
      <c r="BN490" s="106"/>
      <c r="BQ490" s="29"/>
      <c r="BR490" s="107"/>
    </row>
    <row r="491" spans="1:70" ht="21" hidden="1" customHeight="1" outlineLevel="1" x14ac:dyDescent="0.35">
      <c r="A491" s="31"/>
      <c r="B491" s="437"/>
      <c r="C491" s="129" t="s">
        <v>74</v>
      </c>
      <c r="D491" s="129" t="s">
        <v>76</v>
      </c>
      <c r="E491" s="131">
        <f>E490</f>
        <v>0</v>
      </c>
      <c r="F491" s="131">
        <f>E491*1.12</f>
        <v>0</v>
      </c>
      <c r="G491" s="439"/>
      <c r="H491" s="386"/>
      <c r="I491" s="131">
        <f>I490</f>
        <v>0</v>
      </c>
      <c r="J491" s="131">
        <f>I491*1.12</f>
        <v>0</v>
      </c>
      <c r="K491" s="240"/>
      <c r="L491" s="129"/>
      <c r="M491" s="27"/>
      <c r="N491" s="125">
        <f>P491</f>
        <v>0</v>
      </c>
      <c r="O491" s="132">
        <f>O490</f>
        <v>0</v>
      </c>
      <c r="P491" s="132"/>
      <c r="Q491" s="132">
        <f>P491*1.12</f>
        <v>0</v>
      </c>
      <c r="R491" s="141"/>
      <c r="S491" s="386"/>
      <c r="T491" s="131"/>
      <c r="U491" s="131">
        <f>T491*1.12</f>
        <v>0</v>
      </c>
      <c r="V491" s="384"/>
      <c r="W491" s="131"/>
      <c r="X491" s="131">
        <f>W491*1.12</f>
        <v>0</v>
      </c>
      <c r="Y491" s="384"/>
      <c r="Z491" s="131">
        <f>T491+W491</f>
        <v>0</v>
      </c>
      <c r="AA491" s="131">
        <f>U491+X491</f>
        <v>0</v>
      </c>
      <c r="AB491" s="384"/>
      <c r="AC491" s="131"/>
      <c r="AD491" s="131">
        <f>AC491*1.12</f>
        <v>0</v>
      </c>
      <c r="AE491" s="384"/>
      <c r="AF491" s="131"/>
      <c r="AG491" s="130">
        <f>AF491*1.12</f>
        <v>0</v>
      </c>
      <c r="AH491" s="384"/>
      <c r="AI491" s="130">
        <f>AF491-AC491</f>
        <v>0</v>
      </c>
      <c r="AJ491" s="130">
        <f>AG491-AD491</f>
        <v>0</v>
      </c>
      <c r="AK491" s="130"/>
      <c r="AL491" s="126" t="str">
        <f t="shared" si="233"/>
        <v/>
      </c>
      <c r="AM491" s="134"/>
      <c r="AN491" s="134"/>
      <c r="AO491" s="134"/>
      <c r="AP491" s="130">
        <f>AP490</f>
        <v>0</v>
      </c>
      <c r="AQ491" s="130">
        <f>AP491*1.12</f>
        <v>0</v>
      </c>
      <c r="AR491" s="130"/>
      <c r="AS491" s="130"/>
      <c r="AT491" s="130"/>
      <c r="AU491" s="130"/>
      <c r="AV491" s="130"/>
      <c r="AW491" s="130"/>
      <c r="AX491" s="130"/>
      <c r="AY491" s="130"/>
      <c r="AZ491" s="130"/>
      <c r="BA491" s="130"/>
      <c r="BB491" s="130"/>
      <c r="BC491" s="130"/>
      <c r="BD491" s="130"/>
      <c r="BE491" s="130"/>
      <c r="BF491" s="130"/>
      <c r="BG491" s="441"/>
      <c r="BH491" s="31"/>
      <c r="BI491" s="31"/>
      <c r="BJ491" s="31"/>
      <c r="BK491" s="31"/>
      <c r="BL491" s="31"/>
      <c r="BM491" s="31"/>
      <c r="BN491" s="31"/>
      <c r="BQ491" s="27"/>
      <c r="BR491" s="28"/>
    </row>
    <row r="492" spans="1:70" ht="14.5" hidden="1" outlineLevel="1" x14ac:dyDescent="0.35"/>
    <row r="493" spans="1:70" s="13" customFormat="1" collapsed="1" x14ac:dyDescent="0.35">
      <c r="B493" s="402"/>
      <c r="C493" s="402"/>
      <c r="D493" s="402"/>
      <c r="E493" s="403"/>
      <c r="F493" s="403"/>
      <c r="G493" s="21"/>
      <c r="H493" s="404"/>
      <c r="I493" s="403"/>
      <c r="J493" s="403"/>
      <c r="K493" s="405"/>
      <c r="L493" s="402"/>
      <c r="M493" s="21"/>
      <c r="N493" s="406"/>
      <c r="O493" s="406"/>
      <c r="P493" s="406"/>
      <c r="Q493" s="406"/>
      <c r="R493" s="405"/>
      <c r="S493" s="404"/>
      <c r="T493" s="403"/>
      <c r="U493" s="403"/>
      <c r="V493" s="403"/>
      <c r="W493" s="403"/>
      <c r="X493" s="403"/>
      <c r="Y493" s="403"/>
      <c r="Z493" s="403"/>
      <c r="AA493" s="403"/>
      <c r="AB493" s="403"/>
      <c r="AC493" s="403"/>
      <c r="AD493" s="403"/>
      <c r="AE493" s="403"/>
      <c r="AF493" s="407"/>
      <c r="AG493" s="407"/>
      <c r="AH493" s="403"/>
      <c r="AI493" s="408">
        <v>11288336496.209999</v>
      </c>
      <c r="AJ493" s="408"/>
      <c r="AK493" s="409"/>
      <c r="AM493" s="410"/>
      <c r="AN493" s="410"/>
      <c r="AO493" s="410"/>
      <c r="AP493" s="404"/>
      <c r="AQ493" s="404"/>
      <c r="AR493" s="404"/>
      <c r="AS493" s="404"/>
      <c r="AT493" s="404"/>
      <c r="AU493" s="404"/>
      <c r="AV493" s="404"/>
      <c r="AW493" s="404"/>
      <c r="AX493" s="404"/>
      <c r="AY493" s="404"/>
      <c r="AZ493" s="404"/>
      <c r="BA493" s="404"/>
      <c r="BB493" s="404"/>
      <c r="BC493" s="404"/>
      <c r="BD493" s="404"/>
      <c r="BE493" s="404"/>
      <c r="BF493" s="404"/>
      <c r="BQ493" s="21"/>
    </row>
    <row r="494" spans="1:70" s="13" customFormat="1" x14ac:dyDescent="0.35">
      <c r="B494" s="402"/>
      <c r="C494" s="402"/>
      <c r="D494" s="402"/>
      <c r="E494" s="403"/>
      <c r="F494" s="403"/>
      <c r="G494" s="21"/>
      <c r="H494" s="404"/>
      <c r="I494" s="403"/>
      <c r="J494" s="403"/>
      <c r="K494" s="405"/>
      <c r="L494" s="402"/>
      <c r="M494" s="21"/>
      <c r="N494" s="406"/>
      <c r="O494" s="406"/>
      <c r="P494" s="406"/>
      <c r="Q494" s="406"/>
      <c r="R494" s="405"/>
      <c r="S494" s="404"/>
      <c r="T494" s="403"/>
      <c r="U494" s="403"/>
      <c r="V494" s="403"/>
      <c r="W494" s="403"/>
      <c r="X494" s="403"/>
      <c r="Y494" s="403"/>
      <c r="Z494" s="403"/>
      <c r="AA494" s="403"/>
      <c r="AB494" s="403"/>
      <c r="AC494" s="403"/>
      <c r="AD494" s="403">
        <v>10210071843.610001</v>
      </c>
      <c r="AE494" s="403">
        <f>'[64]сент20 (факт)'!AF435</f>
        <v>5980693.3046035692</v>
      </c>
      <c r="AF494" s="407"/>
      <c r="AG494" s="404"/>
      <c r="AH494" s="404">
        <f>AF435</f>
        <v>7572650.4293624973</v>
      </c>
      <c r="AI494" s="408"/>
      <c r="AJ494" s="408"/>
      <c r="AK494" s="408"/>
      <c r="AM494" s="410"/>
      <c r="AN494" s="410"/>
      <c r="AO494" s="410"/>
      <c r="AP494" s="404"/>
      <c r="AQ494" s="404"/>
      <c r="AR494" s="404"/>
      <c r="AS494" s="404"/>
      <c r="AT494" s="404"/>
      <c r="AU494" s="404"/>
      <c r="AV494" s="404"/>
      <c r="AW494" s="404"/>
      <c r="AX494" s="404"/>
      <c r="AY494" s="404"/>
      <c r="AZ494" s="404"/>
      <c r="BA494" s="404"/>
      <c r="BB494" s="404"/>
      <c r="BC494" s="404"/>
      <c r="BD494" s="404"/>
      <c r="BE494" s="404"/>
      <c r="BF494" s="404"/>
      <c r="BQ494" s="21"/>
    </row>
    <row r="495" spans="1:70" s="13" customFormat="1" x14ac:dyDescent="0.35">
      <c r="B495" s="402"/>
      <c r="C495" s="402"/>
      <c r="D495" s="402"/>
      <c r="E495" s="403"/>
      <c r="F495" s="403"/>
      <c r="G495" s="21"/>
      <c r="H495" s="404"/>
      <c r="I495" s="403"/>
      <c r="J495" s="403"/>
      <c r="K495" s="405"/>
      <c r="L495" s="402"/>
      <c r="M495" s="21"/>
      <c r="N495" s="406"/>
      <c r="O495" s="406"/>
      <c r="P495" s="406"/>
      <c r="Q495" s="406"/>
      <c r="R495" s="405"/>
      <c r="S495" s="404"/>
      <c r="T495" s="403"/>
      <c r="U495" s="403"/>
      <c r="V495" s="403"/>
      <c r="W495" s="403"/>
      <c r="X495" s="403"/>
      <c r="Y495" s="403"/>
      <c r="Z495" s="403"/>
      <c r="AA495" s="403"/>
      <c r="AB495" s="403"/>
      <c r="AC495" s="403"/>
      <c r="AD495" s="403">
        <f>AD494/1.12</f>
        <v>9116135574.6517849</v>
      </c>
      <c r="AE495" s="403"/>
      <c r="AF495" s="411">
        <v>44147</v>
      </c>
      <c r="AG495" s="404">
        <v>3314219642.6900001</v>
      </c>
      <c r="AH495" s="403"/>
      <c r="AI495" s="408">
        <v>28674315.890000343</v>
      </c>
      <c r="AJ495" s="408"/>
      <c r="AK495" s="408"/>
      <c r="AM495" s="410"/>
      <c r="AN495" s="410"/>
      <c r="AO495" s="410"/>
      <c r="AP495" s="404"/>
      <c r="AQ495" s="404"/>
      <c r="AR495" s="404"/>
      <c r="AS495" s="404"/>
      <c r="AT495" s="404"/>
      <c r="AU495" s="404"/>
      <c r="AV495" s="404"/>
      <c r="AW495" s="404"/>
      <c r="AX495" s="404"/>
      <c r="AY495" s="404"/>
      <c r="AZ495" s="404"/>
      <c r="BA495" s="404"/>
      <c r="BB495" s="404"/>
      <c r="BC495" s="404"/>
      <c r="BD495" s="404"/>
      <c r="BE495" s="404"/>
      <c r="BF495" s="404"/>
      <c r="BQ495" s="21"/>
    </row>
    <row r="496" spans="1:70" s="13" customFormat="1" outlineLevel="1" x14ac:dyDescent="0.35">
      <c r="B496" s="402"/>
      <c r="C496" s="402"/>
      <c r="D496" s="402"/>
      <c r="E496" s="403"/>
      <c r="F496" s="403"/>
      <c r="G496" s="21"/>
      <c r="H496" s="404"/>
      <c r="I496" s="403"/>
      <c r="J496" s="403"/>
      <c r="K496" s="405"/>
      <c r="L496" s="402"/>
      <c r="M496" s="21"/>
      <c r="N496" s="406"/>
      <c r="O496" s="406"/>
      <c r="P496" s="406"/>
      <c r="Q496" s="406"/>
      <c r="R496" s="405"/>
      <c r="S496" s="404"/>
      <c r="T496" s="403"/>
      <c r="U496" s="403"/>
      <c r="V496" s="403"/>
      <c r="W496" s="403"/>
      <c r="X496" s="403"/>
      <c r="Y496" s="403"/>
      <c r="Z496" s="403"/>
      <c r="AA496" s="403"/>
      <c r="AB496" s="403"/>
      <c r="AC496" s="403"/>
      <c r="AD496" s="403"/>
      <c r="AE496" s="403">
        <f>AF494-AE494</f>
        <v>-5980693.3046035692</v>
      </c>
      <c r="AF496" s="403">
        <f>AG494-AF494</f>
        <v>0</v>
      </c>
      <c r="AG496" s="403">
        <f>AH494-AG494</f>
        <v>7572650.4293624973</v>
      </c>
      <c r="AH496" s="403">
        <v>247791</v>
      </c>
      <c r="AI496" s="408"/>
      <c r="AJ496" s="408"/>
      <c r="AK496" s="408"/>
      <c r="AM496" s="410"/>
      <c r="AN496" s="410"/>
      <c r="AO496" s="410"/>
      <c r="AP496" s="404"/>
      <c r="AQ496" s="404"/>
      <c r="AR496" s="404"/>
      <c r="AS496" s="404"/>
      <c r="AT496" s="404"/>
      <c r="AU496" s="404"/>
      <c r="AV496" s="404"/>
      <c r="AW496" s="404"/>
      <c r="AX496" s="404"/>
      <c r="AY496" s="404"/>
      <c r="AZ496" s="404"/>
      <c r="BA496" s="404"/>
      <c r="BB496" s="404"/>
      <c r="BC496" s="404"/>
      <c r="BD496" s="404"/>
      <c r="BE496" s="404"/>
      <c r="BF496" s="404"/>
      <c r="BQ496" s="21"/>
    </row>
    <row r="497" spans="4:70" outlineLevel="1" x14ac:dyDescent="0.35">
      <c r="AE497" s="403" t="s">
        <v>207</v>
      </c>
      <c r="AF497" s="403" t="s">
        <v>208</v>
      </c>
      <c r="AG497" s="404" t="s">
        <v>209</v>
      </c>
      <c r="AH497" s="403"/>
    </row>
    <row r="498" spans="4:70" ht="28.5" customHeight="1" outlineLevel="1" x14ac:dyDescent="0.35">
      <c r="E498" s="412" t="s">
        <v>210</v>
      </c>
      <c r="R498" s="413"/>
      <c r="T498" s="414"/>
      <c r="U498" s="414"/>
      <c r="V498" s="414"/>
      <c r="W498" s="414"/>
      <c r="Y498" s="415" t="s">
        <v>211</v>
      </c>
      <c r="Z498" s="414"/>
      <c r="AB498" s="414"/>
      <c r="AC498" s="414"/>
      <c r="AE498" s="416"/>
      <c r="AF498" s="417"/>
      <c r="AG498" s="416"/>
      <c r="AH498" s="416">
        <f>[65]Лист1!$M$3-AF496</f>
        <v>440158.55511607142</v>
      </c>
      <c r="AI498" s="414"/>
      <c r="AJ498" s="418"/>
      <c r="AK498" s="419"/>
      <c r="AL498" s="420"/>
      <c r="AM498" s="7"/>
      <c r="AN498" s="421"/>
      <c r="AO498" s="421"/>
      <c r="AP498" s="422" t="s">
        <v>212</v>
      </c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</row>
    <row r="499" spans="4:70" ht="22.5" x14ac:dyDescent="0.35">
      <c r="E499" s="412"/>
      <c r="R499" s="413"/>
      <c r="T499" s="414"/>
      <c r="U499" s="414"/>
      <c r="V499" s="414"/>
      <c r="W499" s="414"/>
      <c r="X499" s="414"/>
      <c r="Y499" s="414"/>
      <c r="Z499" s="414"/>
      <c r="AA499" s="415"/>
      <c r="AB499" s="414"/>
      <c r="AC499" s="414"/>
      <c r="AE499" s="414"/>
      <c r="AF499" s="420"/>
      <c r="AG499" s="414"/>
      <c r="AH499" s="414"/>
      <c r="AI499" s="414"/>
      <c r="AJ499" s="418"/>
      <c r="AK499" s="419"/>
      <c r="AL499" s="420"/>
      <c r="AM499" s="7"/>
      <c r="AN499" s="421"/>
      <c r="AO499" s="421"/>
      <c r="AP499" s="422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</row>
    <row r="500" spans="4:70" ht="22.5" hidden="1" outlineLevel="1" x14ac:dyDescent="0.35">
      <c r="E500" s="412" t="s">
        <v>213</v>
      </c>
      <c r="R500" s="413"/>
      <c r="T500" s="414"/>
      <c r="U500" s="414"/>
      <c r="V500" s="414"/>
      <c r="W500" s="414"/>
      <c r="X500" s="414"/>
      <c r="Y500" s="415" t="s">
        <v>214</v>
      </c>
      <c r="Z500" s="414"/>
      <c r="AB500" s="414"/>
      <c r="AC500" s="414"/>
      <c r="AE500" s="414"/>
      <c r="AF500" s="420"/>
      <c r="AG500" s="414"/>
      <c r="AH500" s="414"/>
      <c r="AI500" s="414"/>
      <c r="AJ500" s="418"/>
      <c r="AK500" s="419"/>
      <c r="AL500" s="420"/>
      <c r="AM500" s="7"/>
      <c r="AN500" s="421"/>
      <c r="AO500" s="421"/>
      <c r="AP500" s="422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</row>
    <row r="501" spans="4:70" ht="22.5" collapsed="1" x14ac:dyDescent="0.35">
      <c r="E501" s="423"/>
      <c r="T501" s="414"/>
      <c r="U501" s="414"/>
      <c r="V501" s="414"/>
      <c r="W501" s="414"/>
      <c r="X501" s="414"/>
      <c r="Y501" s="414"/>
      <c r="Z501" s="414"/>
      <c r="AA501" s="414"/>
      <c r="AB501" s="414"/>
      <c r="AC501" s="414"/>
      <c r="AE501" s="414"/>
      <c r="AF501" s="420"/>
      <c r="AG501" s="414"/>
      <c r="AH501" s="414"/>
      <c r="AI501" s="414"/>
      <c r="AJ501" s="418"/>
      <c r="AK501" s="419"/>
      <c r="AL501" s="420"/>
      <c r="AM501" s="7"/>
      <c r="AN501" s="421"/>
      <c r="AO501" s="421"/>
      <c r="AP501" s="422"/>
      <c r="AQ501" s="413"/>
      <c r="AR501" s="415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</row>
    <row r="502" spans="4:70" s="13" customFormat="1" ht="22.5" x14ac:dyDescent="0.4">
      <c r="D502" s="424"/>
      <c r="E502" s="425" t="s">
        <v>215</v>
      </c>
      <c r="H502" s="410"/>
      <c r="K502" s="426"/>
      <c r="S502" s="410"/>
      <c r="T502" s="427"/>
      <c r="U502" s="427"/>
      <c r="V502" s="427"/>
      <c r="W502" s="427"/>
      <c r="X502" s="427"/>
      <c r="Y502" s="427"/>
      <c r="Z502" s="427"/>
      <c r="AA502" s="427"/>
      <c r="AB502" s="427"/>
      <c r="AC502" s="427"/>
      <c r="AE502" s="427"/>
      <c r="AF502" s="428"/>
      <c r="AG502" s="427"/>
      <c r="AH502" s="427"/>
      <c r="AI502" s="427"/>
      <c r="AJ502" s="429"/>
      <c r="AK502" s="424"/>
      <c r="AL502" s="428"/>
      <c r="AM502" s="430"/>
      <c r="AN502" s="430"/>
      <c r="AO502" s="430"/>
      <c r="AP502" s="422"/>
      <c r="AQ502" s="431"/>
      <c r="AR502" s="427"/>
      <c r="AS502" s="404"/>
      <c r="AT502" s="404"/>
      <c r="AU502" s="404"/>
      <c r="AV502" s="404"/>
      <c r="AW502" s="404"/>
      <c r="AX502" s="404"/>
      <c r="AY502" s="404"/>
      <c r="AZ502" s="404"/>
      <c r="BA502" s="404"/>
      <c r="BB502" s="404"/>
      <c r="BC502" s="404"/>
      <c r="BD502" s="404"/>
      <c r="BE502" s="404"/>
      <c r="BF502" s="404"/>
      <c r="BQ502" s="21"/>
      <c r="BR502" s="12"/>
    </row>
  </sheetData>
  <mergeCells count="1005">
    <mergeCell ref="E2:S2"/>
    <mergeCell ref="A4:A7"/>
    <mergeCell ref="B4:B7"/>
    <mergeCell ref="C4:C7"/>
    <mergeCell ref="D4:D7"/>
    <mergeCell ref="E4:J4"/>
    <mergeCell ref="K4:S4"/>
    <mergeCell ref="R5:R7"/>
    <mergeCell ref="S5:S7"/>
    <mergeCell ref="BL4:BM4"/>
    <mergeCell ref="BN4:BN7"/>
    <mergeCell ref="E5:F6"/>
    <mergeCell ref="G5:G7"/>
    <mergeCell ref="H5:H7"/>
    <mergeCell ref="I5:J6"/>
    <mergeCell ref="K5:K7"/>
    <mergeCell ref="L5:L7"/>
    <mergeCell ref="M5:M7"/>
    <mergeCell ref="N5:Q5"/>
    <mergeCell ref="T4:AB4"/>
    <mergeCell ref="AC4:AL4"/>
    <mergeCell ref="AM4:AO5"/>
    <mergeCell ref="AP4:AR5"/>
    <mergeCell ref="AS4:BF4"/>
    <mergeCell ref="BI4:BK4"/>
    <mergeCell ref="T5:V5"/>
    <mergeCell ref="W5:Y5"/>
    <mergeCell ref="Z5:AB5"/>
    <mergeCell ref="AC5:AE5"/>
    <mergeCell ref="BI5:BI7"/>
    <mergeCell ref="BJ5:BJ7"/>
    <mergeCell ref="BK5:BK7"/>
    <mergeCell ref="BL5:BL7"/>
    <mergeCell ref="BM5:BM7"/>
    <mergeCell ref="N6:O6"/>
    <mergeCell ref="P6:Q6"/>
    <mergeCell ref="T6:U6"/>
    <mergeCell ref="V6:V7"/>
    <mergeCell ref="W6:X6"/>
    <mergeCell ref="BC5:BC6"/>
    <mergeCell ref="BD5:BD6"/>
    <mergeCell ref="BE5:BE6"/>
    <mergeCell ref="BF5:BF6"/>
    <mergeCell ref="BG5:BG7"/>
    <mergeCell ref="BH5:BH7"/>
    <mergeCell ref="AW5:AW6"/>
    <mergeCell ref="AX5:AX6"/>
    <mergeCell ref="AY5:AY6"/>
    <mergeCell ref="AZ5:AZ6"/>
    <mergeCell ref="BA5:BA6"/>
    <mergeCell ref="BB5:BB6"/>
    <mergeCell ref="AF5:AH5"/>
    <mergeCell ref="AI5:AL5"/>
    <mergeCell ref="AS5:AS6"/>
    <mergeCell ref="AT5:AT6"/>
    <mergeCell ref="AU5:AU6"/>
    <mergeCell ref="AV5:AV6"/>
    <mergeCell ref="AH6:AH7"/>
    <mergeCell ref="AI6:AJ6"/>
    <mergeCell ref="AK6:AK7"/>
    <mergeCell ref="AL6:AL7"/>
    <mergeCell ref="A13:A16"/>
    <mergeCell ref="B13:B16"/>
    <mergeCell ref="C15:C16"/>
    <mergeCell ref="A17:A19"/>
    <mergeCell ref="B17:B19"/>
    <mergeCell ref="A20:A22"/>
    <mergeCell ref="B20:B22"/>
    <mergeCell ref="AM6:AM7"/>
    <mergeCell ref="AN6:AN7"/>
    <mergeCell ref="AO6:AO7"/>
    <mergeCell ref="AP6:AQ6"/>
    <mergeCell ref="AR6:AR7"/>
    <mergeCell ref="A9:A12"/>
    <mergeCell ref="B9:B12"/>
    <mergeCell ref="C11:C12"/>
    <mergeCell ref="Y6:Y7"/>
    <mergeCell ref="Z6:AA6"/>
    <mergeCell ref="AB6:AB7"/>
    <mergeCell ref="AC6:AD6"/>
    <mergeCell ref="AE6:AE7"/>
    <mergeCell ref="AF6:AG6"/>
    <mergeCell ref="R26:R28"/>
    <mergeCell ref="S26:S28"/>
    <mergeCell ref="BG26:BG28"/>
    <mergeCell ref="G29:G31"/>
    <mergeCell ref="H29:H31"/>
    <mergeCell ref="K29:K31"/>
    <mergeCell ref="L29:L31"/>
    <mergeCell ref="M29:M31"/>
    <mergeCell ref="R29:R31"/>
    <mergeCell ref="S29:S31"/>
    <mergeCell ref="S20:S22"/>
    <mergeCell ref="A23:A25"/>
    <mergeCell ref="B23:B25"/>
    <mergeCell ref="A26:A40"/>
    <mergeCell ref="B26:B40"/>
    <mergeCell ref="G26:G28"/>
    <mergeCell ref="H26:H28"/>
    <mergeCell ref="K26:K28"/>
    <mergeCell ref="L26:L28"/>
    <mergeCell ref="M26:M28"/>
    <mergeCell ref="G20:G22"/>
    <mergeCell ref="H20:H22"/>
    <mergeCell ref="K20:K22"/>
    <mergeCell ref="L20:L22"/>
    <mergeCell ref="M20:M22"/>
    <mergeCell ref="R20:R22"/>
    <mergeCell ref="S35:S37"/>
    <mergeCell ref="BG35:BG37"/>
    <mergeCell ref="G38:G40"/>
    <mergeCell ref="H38:H40"/>
    <mergeCell ref="K38:K40"/>
    <mergeCell ref="L38:L40"/>
    <mergeCell ref="M38:M40"/>
    <mergeCell ref="R38:R40"/>
    <mergeCell ref="S38:S40"/>
    <mergeCell ref="BG38:BG40"/>
    <mergeCell ref="G35:G37"/>
    <mergeCell ref="H35:H37"/>
    <mergeCell ref="K35:K37"/>
    <mergeCell ref="L35:L37"/>
    <mergeCell ref="M35:M37"/>
    <mergeCell ref="R35:R37"/>
    <mergeCell ref="BG29:BG31"/>
    <mergeCell ref="G32:G34"/>
    <mergeCell ref="H32:H34"/>
    <mergeCell ref="K32:K34"/>
    <mergeCell ref="L32:L34"/>
    <mergeCell ref="M32:M34"/>
    <mergeCell ref="R32:R34"/>
    <mergeCell ref="S32:S34"/>
    <mergeCell ref="BG32:BG34"/>
    <mergeCell ref="BG50:BG52"/>
    <mergeCell ref="BS50:BS52"/>
    <mergeCell ref="H53:H55"/>
    <mergeCell ref="S53:S55"/>
    <mergeCell ref="BG53:BG55"/>
    <mergeCell ref="BS53:BS55"/>
    <mergeCell ref="BS44:BS46"/>
    <mergeCell ref="H47:H49"/>
    <mergeCell ref="K47:K76"/>
    <mergeCell ref="L47:L76"/>
    <mergeCell ref="R47:R76"/>
    <mergeCell ref="S47:S49"/>
    <mergeCell ref="BG47:BG49"/>
    <mergeCell ref="BS47:BS49"/>
    <mergeCell ref="H50:H52"/>
    <mergeCell ref="S50:S52"/>
    <mergeCell ref="M41:M43"/>
    <mergeCell ref="S41:S43"/>
    <mergeCell ref="BG41:BG43"/>
    <mergeCell ref="H44:H46"/>
    <mergeCell ref="K44:K46"/>
    <mergeCell ref="L44:L46"/>
    <mergeCell ref="R44:R46"/>
    <mergeCell ref="S44:S46"/>
    <mergeCell ref="BG44:BG46"/>
    <mergeCell ref="H41:H43"/>
    <mergeCell ref="K41:K43"/>
    <mergeCell ref="L41:L43"/>
    <mergeCell ref="H56:H58"/>
    <mergeCell ref="H62:H64"/>
    <mergeCell ref="H68:H70"/>
    <mergeCell ref="H74:H76"/>
    <mergeCell ref="M62:M64"/>
    <mergeCell ref="S62:S64"/>
    <mergeCell ref="BG62:BG64"/>
    <mergeCell ref="BS62:BS64"/>
    <mergeCell ref="H65:H67"/>
    <mergeCell ref="M65:M67"/>
    <mergeCell ref="S65:S67"/>
    <mergeCell ref="BG65:BG67"/>
    <mergeCell ref="BS65:BS67"/>
    <mergeCell ref="M56:M58"/>
    <mergeCell ref="S56:S58"/>
    <mergeCell ref="BG56:BG58"/>
    <mergeCell ref="BS56:BS58"/>
    <mergeCell ref="H59:H61"/>
    <mergeCell ref="M59:M61"/>
    <mergeCell ref="S59:S61"/>
    <mergeCell ref="BG59:BG61"/>
    <mergeCell ref="BS59:BS61"/>
    <mergeCell ref="M74:M76"/>
    <mergeCell ref="S74:S76"/>
    <mergeCell ref="BG74:BG76"/>
    <mergeCell ref="BS74:BS76"/>
    <mergeCell ref="H77:H79"/>
    <mergeCell ref="L77:L79"/>
    <mergeCell ref="M77:M79"/>
    <mergeCell ref="R77:R79"/>
    <mergeCell ref="S77:S79"/>
    <mergeCell ref="BG77:BG79"/>
    <mergeCell ref="M68:M70"/>
    <mergeCell ref="S68:S70"/>
    <mergeCell ref="BG68:BG70"/>
    <mergeCell ref="BS68:BS70"/>
    <mergeCell ref="H71:H73"/>
    <mergeCell ref="M71:M73"/>
    <mergeCell ref="S71:S73"/>
    <mergeCell ref="BG71:BG73"/>
    <mergeCell ref="BS71:BS73"/>
    <mergeCell ref="BS83:BS85"/>
    <mergeCell ref="H86:H88"/>
    <mergeCell ref="L86:L88"/>
    <mergeCell ref="M86:M88"/>
    <mergeCell ref="R86:R88"/>
    <mergeCell ref="S86:S88"/>
    <mergeCell ref="BG86:BG88"/>
    <mergeCell ref="BS86:BS88"/>
    <mergeCell ref="H83:H85"/>
    <mergeCell ref="L83:L85"/>
    <mergeCell ref="M83:M85"/>
    <mergeCell ref="R83:R85"/>
    <mergeCell ref="S83:S85"/>
    <mergeCell ref="BG83:BG85"/>
    <mergeCell ref="BS77:BS79"/>
    <mergeCell ref="H80:H82"/>
    <mergeCell ref="L80:L82"/>
    <mergeCell ref="M80:M82"/>
    <mergeCell ref="R80:R82"/>
    <mergeCell ref="S80:S82"/>
    <mergeCell ref="BG80:BG82"/>
    <mergeCell ref="BS80:BS82"/>
    <mergeCell ref="BG95:BG97"/>
    <mergeCell ref="BS95:BS97"/>
    <mergeCell ref="H98:H100"/>
    <mergeCell ref="K98:K100"/>
    <mergeCell ref="L98:L100"/>
    <mergeCell ref="M98:M100"/>
    <mergeCell ref="R98:R100"/>
    <mergeCell ref="S98:S100"/>
    <mergeCell ref="BG98:BG100"/>
    <mergeCell ref="BS98:BS100"/>
    <mergeCell ref="H95:H97"/>
    <mergeCell ref="K95:K97"/>
    <mergeCell ref="L95:L97"/>
    <mergeCell ref="M95:M97"/>
    <mergeCell ref="R95:R97"/>
    <mergeCell ref="S95:S97"/>
    <mergeCell ref="BS89:BS91"/>
    <mergeCell ref="H92:H94"/>
    <mergeCell ref="L92:L94"/>
    <mergeCell ref="M92:M94"/>
    <mergeCell ref="R92:R94"/>
    <mergeCell ref="S92:S94"/>
    <mergeCell ref="BG92:BG94"/>
    <mergeCell ref="BS92:BS94"/>
    <mergeCell ref="H89:H91"/>
    <mergeCell ref="L89:L91"/>
    <mergeCell ref="M89:M91"/>
    <mergeCell ref="R89:R91"/>
    <mergeCell ref="S89:S91"/>
    <mergeCell ref="BG89:BG91"/>
    <mergeCell ref="K107:K109"/>
    <mergeCell ref="L107:L109"/>
    <mergeCell ref="M107:M109"/>
    <mergeCell ref="R107:R109"/>
    <mergeCell ref="S107:S109"/>
    <mergeCell ref="BG107:BG109"/>
    <mergeCell ref="BG101:BG103"/>
    <mergeCell ref="BS101:BS103"/>
    <mergeCell ref="H104:H106"/>
    <mergeCell ref="K104:K106"/>
    <mergeCell ref="L104:L106"/>
    <mergeCell ref="M104:M106"/>
    <mergeCell ref="R104:R106"/>
    <mergeCell ref="S104:S106"/>
    <mergeCell ref="BG104:BG106"/>
    <mergeCell ref="BS104:BS106"/>
    <mergeCell ref="H101:H103"/>
    <mergeCell ref="K101:K103"/>
    <mergeCell ref="L101:L103"/>
    <mergeCell ref="M101:M103"/>
    <mergeCell ref="R101:R103"/>
    <mergeCell ref="S101:S103"/>
    <mergeCell ref="M116:M118"/>
    <mergeCell ref="R116:R118"/>
    <mergeCell ref="S116:S118"/>
    <mergeCell ref="BG116:BG118"/>
    <mergeCell ref="A119:A122"/>
    <mergeCell ref="B119:B122"/>
    <mergeCell ref="C121:C122"/>
    <mergeCell ref="A116:A118"/>
    <mergeCell ref="B116:B118"/>
    <mergeCell ref="G116:G118"/>
    <mergeCell ref="H116:H118"/>
    <mergeCell ref="K116:K118"/>
    <mergeCell ref="L116:L118"/>
    <mergeCell ref="K110:K112"/>
    <mergeCell ref="L110:L115"/>
    <mergeCell ref="M110:M112"/>
    <mergeCell ref="R110:R115"/>
    <mergeCell ref="S110:S112"/>
    <mergeCell ref="BG110:BG112"/>
    <mergeCell ref="K113:K115"/>
    <mergeCell ref="M113:M115"/>
    <mergeCell ref="S113:S115"/>
    <mergeCell ref="BG113:BG115"/>
    <mergeCell ref="A41:A115"/>
    <mergeCell ref="B41:B115"/>
    <mergeCell ref="G41:G115"/>
    <mergeCell ref="M126:M128"/>
    <mergeCell ref="R126:R128"/>
    <mergeCell ref="S126:S128"/>
    <mergeCell ref="BG126:BG128"/>
    <mergeCell ref="A129:A131"/>
    <mergeCell ref="B129:B131"/>
    <mergeCell ref="G129:G131"/>
    <mergeCell ref="H129:H131"/>
    <mergeCell ref="K129:K131"/>
    <mergeCell ref="L129:L131"/>
    <mergeCell ref="M123:M125"/>
    <mergeCell ref="R123:R125"/>
    <mergeCell ref="S123:S125"/>
    <mergeCell ref="BG123:BG125"/>
    <mergeCell ref="A126:A128"/>
    <mergeCell ref="B126:B128"/>
    <mergeCell ref="G126:G128"/>
    <mergeCell ref="H126:H128"/>
    <mergeCell ref="K126:K128"/>
    <mergeCell ref="L126:L128"/>
    <mergeCell ref="A123:A125"/>
    <mergeCell ref="B123:B125"/>
    <mergeCell ref="G123:G125"/>
    <mergeCell ref="H123:H125"/>
    <mergeCell ref="K123:K125"/>
    <mergeCell ref="L123:L125"/>
    <mergeCell ref="M132:M134"/>
    <mergeCell ref="R132:R134"/>
    <mergeCell ref="S132:S134"/>
    <mergeCell ref="BG132:BG134"/>
    <mergeCell ref="A135:A137"/>
    <mergeCell ref="B135:B137"/>
    <mergeCell ref="BG135:BG137"/>
    <mergeCell ref="M129:M131"/>
    <mergeCell ref="R129:R131"/>
    <mergeCell ref="S129:S131"/>
    <mergeCell ref="BG129:BG131"/>
    <mergeCell ref="A132:A134"/>
    <mergeCell ref="B132:B134"/>
    <mergeCell ref="G132:G134"/>
    <mergeCell ref="H132:H134"/>
    <mergeCell ref="K132:K134"/>
    <mergeCell ref="L132:L134"/>
    <mergeCell ref="R140:R142"/>
    <mergeCell ref="S140:S142"/>
    <mergeCell ref="K143:K145"/>
    <mergeCell ref="L143:L145"/>
    <mergeCell ref="M143:M145"/>
    <mergeCell ref="R143:R145"/>
    <mergeCell ref="S143:S145"/>
    <mergeCell ref="A138:A145"/>
    <mergeCell ref="B138:B145"/>
    <mergeCell ref="K138:L139"/>
    <mergeCell ref="M138:M139"/>
    <mergeCell ref="S138:S139"/>
    <mergeCell ref="G140:G145"/>
    <mergeCell ref="H140:H145"/>
    <mergeCell ref="K140:K142"/>
    <mergeCell ref="L140:L142"/>
    <mergeCell ref="M140:M142"/>
    <mergeCell ref="K154:K156"/>
    <mergeCell ref="L154:L156"/>
    <mergeCell ref="M154:M156"/>
    <mergeCell ref="R154:R156"/>
    <mergeCell ref="S154:S156"/>
    <mergeCell ref="K157:K159"/>
    <mergeCell ref="L157:L159"/>
    <mergeCell ref="M157:M159"/>
    <mergeCell ref="R157:R159"/>
    <mergeCell ref="S157:S159"/>
    <mergeCell ref="R148:R150"/>
    <mergeCell ref="S148:S150"/>
    <mergeCell ref="K151:K153"/>
    <mergeCell ref="L151:L153"/>
    <mergeCell ref="M151:M153"/>
    <mergeCell ref="R151:R153"/>
    <mergeCell ref="S151:S153"/>
    <mergeCell ref="K148:K150"/>
    <mergeCell ref="L148:L150"/>
    <mergeCell ref="M148:M150"/>
    <mergeCell ref="A175:A182"/>
    <mergeCell ref="B175:B182"/>
    <mergeCell ref="K175:L176"/>
    <mergeCell ref="M175:M176"/>
    <mergeCell ref="S175:S176"/>
    <mergeCell ref="K166:K168"/>
    <mergeCell ref="L166:L168"/>
    <mergeCell ref="M166:M168"/>
    <mergeCell ref="R166:R168"/>
    <mergeCell ref="S166:S168"/>
    <mergeCell ref="K169:K171"/>
    <mergeCell ref="L169:L171"/>
    <mergeCell ref="M169:M171"/>
    <mergeCell ref="R169:R171"/>
    <mergeCell ref="S169:S171"/>
    <mergeCell ref="K160:K162"/>
    <mergeCell ref="L160:L162"/>
    <mergeCell ref="M160:M162"/>
    <mergeCell ref="R160:R162"/>
    <mergeCell ref="S160:S162"/>
    <mergeCell ref="K163:K165"/>
    <mergeCell ref="L163:L165"/>
    <mergeCell ref="M163:M165"/>
    <mergeCell ref="R163:R165"/>
    <mergeCell ref="S163:S165"/>
    <mergeCell ref="A146:A174"/>
    <mergeCell ref="B146:B174"/>
    <mergeCell ref="K146:L147"/>
    <mergeCell ref="M146:M147"/>
    <mergeCell ref="S146:S147"/>
    <mergeCell ref="G148:G174"/>
    <mergeCell ref="H148:H174"/>
    <mergeCell ref="S177:S179"/>
    <mergeCell ref="K180:K182"/>
    <mergeCell ref="L180:L182"/>
    <mergeCell ref="M180:M182"/>
    <mergeCell ref="R180:R182"/>
    <mergeCell ref="S180:S182"/>
    <mergeCell ref="G177:G182"/>
    <mergeCell ref="H177:H182"/>
    <mergeCell ref="K177:K179"/>
    <mergeCell ref="L177:L179"/>
    <mergeCell ref="M177:M179"/>
    <mergeCell ref="R177:R179"/>
    <mergeCell ref="K172:K174"/>
    <mergeCell ref="L172:L174"/>
    <mergeCell ref="M172:M174"/>
    <mergeCell ref="R172:R174"/>
    <mergeCell ref="S172:S174"/>
    <mergeCell ref="R185:R187"/>
    <mergeCell ref="S185:S187"/>
    <mergeCell ref="K188:K190"/>
    <mergeCell ref="L188:L190"/>
    <mergeCell ref="M188:M190"/>
    <mergeCell ref="R188:R190"/>
    <mergeCell ref="S188:S190"/>
    <mergeCell ref="A183:A202"/>
    <mergeCell ref="B183:B202"/>
    <mergeCell ref="K183:L184"/>
    <mergeCell ref="M183:M184"/>
    <mergeCell ref="S183:S184"/>
    <mergeCell ref="G185:G202"/>
    <mergeCell ref="H185:H202"/>
    <mergeCell ref="K185:K187"/>
    <mergeCell ref="L185:L187"/>
    <mergeCell ref="M185:M187"/>
    <mergeCell ref="K197:K199"/>
    <mergeCell ref="L197:L199"/>
    <mergeCell ref="M197:M199"/>
    <mergeCell ref="R197:R199"/>
    <mergeCell ref="S197:S199"/>
    <mergeCell ref="K200:K202"/>
    <mergeCell ref="L200:L202"/>
    <mergeCell ref="M200:M202"/>
    <mergeCell ref="R200:R202"/>
    <mergeCell ref="S200:S202"/>
    <mergeCell ref="K191:K193"/>
    <mergeCell ref="L191:L193"/>
    <mergeCell ref="M191:M193"/>
    <mergeCell ref="R191:R193"/>
    <mergeCell ref="S191:S193"/>
    <mergeCell ref="K194:K196"/>
    <mergeCell ref="L194:L196"/>
    <mergeCell ref="M194:M196"/>
    <mergeCell ref="R194:R196"/>
    <mergeCell ref="S194:S196"/>
    <mergeCell ref="R205:R207"/>
    <mergeCell ref="S205:S207"/>
    <mergeCell ref="K208:K210"/>
    <mergeCell ref="L208:L210"/>
    <mergeCell ref="M208:M210"/>
    <mergeCell ref="R208:R210"/>
    <mergeCell ref="S208:S210"/>
    <mergeCell ref="A203:A222"/>
    <mergeCell ref="B203:B222"/>
    <mergeCell ref="K203:L204"/>
    <mergeCell ref="M203:M204"/>
    <mergeCell ref="S203:S204"/>
    <mergeCell ref="G205:G222"/>
    <mergeCell ref="H205:H222"/>
    <mergeCell ref="K205:K207"/>
    <mergeCell ref="L205:L207"/>
    <mergeCell ref="M205:M207"/>
    <mergeCell ref="K217:K219"/>
    <mergeCell ref="L217:L219"/>
    <mergeCell ref="M217:M219"/>
    <mergeCell ref="R217:R219"/>
    <mergeCell ref="S217:S219"/>
    <mergeCell ref="K220:K222"/>
    <mergeCell ref="L220:L222"/>
    <mergeCell ref="M220:M222"/>
    <mergeCell ref="R220:R222"/>
    <mergeCell ref="S220:S222"/>
    <mergeCell ref="K211:K213"/>
    <mergeCell ref="L211:L213"/>
    <mergeCell ref="M211:M213"/>
    <mergeCell ref="R211:R213"/>
    <mergeCell ref="S211:S213"/>
    <mergeCell ref="K214:K216"/>
    <mergeCell ref="L214:L216"/>
    <mergeCell ref="M214:M216"/>
    <mergeCell ref="R214:R216"/>
    <mergeCell ref="S214:S216"/>
    <mergeCell ref="R225:R227"/>
    <mergeCell ref="S225:S227"/>
    <mergeCell ref="K228:K230"/>
    <mergeCell ref="L228:L230"/>
    <mergeCell ref="M228:M230"/>
    <mergeCell ref="R228:R230"/>
    <mergeCell ref="S228:S230"/>
    <mergeCell ref="A223:A233"/>
    <mergeCell ref="B223:B233"/>
    <mergeCell ref="K223:L224"/>
    <mergeCell ref="M223:M224"/>
    <mergeCell ref="S223:S224"/>
    <mergeCell ref="G225:G233"/>
    <mergeCell ref="H225:H233"/>
    <mergeCell ref="K225:K227"/>
    <mergeCell ref="L225:L227"/>
    <mergeCell ref="M225:M227"/>
    <mergeCell ref="S236:S238"/>
    <mergeCell ref="K239:K241"/>
    <mergeCell ref="L239:L241"/>
    <mergeCell ref="M239:M241"/>
    <mergeCell ref="R239:R241"/>
    <mergeCell ref="S239:S241"/>
    <mergeCell ref="G236:G244"/>
    <mergeCell ref="H236:H244"/>
    <mergeCell ref="K236:K238"/>
    <mergeCell ref="L236:L238"/>
    <mergeCell ref="M236:M238"/>
    <mergeCell ref="R236:R238"/>
    <mergeCell ref="K242:K244"/>
    <mergeCell ref="L242:L244"/>
    <mergeCell ref="M242:M244"/>
    <mergeCell ref="R242:R244"/>
    <mergeCell ref="K231:K233"/>
    <mergeCell ref="L231:L233"/>
    <mergeCell ref="M231:M233"/>
    <mergeCell ref="R231:R233"/>
    <mergeCell ref="S231:S233"/>
    <mergeCell ref="K234:L235"/>
    <mergeCell ref="M234:M235"/>
    <mergeCell ref="S234:S235"/>
    <mergeCell ref="M247:M249"/>
    <mergeCell ref="R247:R249"/>
    <mergeCell ref="S247:S249"/>
    <mergeCell ref="K250:K252"/>
    <mergeCell ref="L250:L252"/>
    <mergeCell ref="M250:M252"/>
    <mergeCell ref="R250:R252"/>
    <mergeCell ref="S250:S252"/>
    <mergeCell ref="S242:S244"/>
    <mergeCell ref="A245:A261"/>
    <mergeCell ref="B245:B261"/>
    <mergeCell ref="K245:L246"/>
    <mergeCell ref="M245:M246"/>
    <mergeCell ref="S245:S246"/>
    <mergeCell ref="G247:G261"/>
    <mergeCell ref="H247:H261"/>
    <mergeCell ref="K247:K249"/>
    <mergeCell ref="L247:L249"/>
    <mergeCell ref="A234:A244"/>
    <mergeCell ref="B234:B244"/>
    <mergeCell ref="K259:K261"/>
    <mergeCell ref="L259:L261"/>
    <mergeCell ref="M259:M261"/>
    <mergeCell ref="R259:R261"/>
    <mergeCell ref="S259:S261"/>
    <mergeCell ref="A262:A284"/>
    <mergeCell ref="B262:B284"/>
    <mergeCell ref="K262:L263"/>
    <mergeCell ref="M262:M263"/>
    <mergeCell ref="S262:S263"/>
    <mergeCell ref="K253:K255"/>
    <mergeCell ref="L253:L255"/>
    <mergeCell ref="M253:M255"/>
    <mergeCell ref="R253:R255"/>
    <mergeCell ref="S253:S255"/>
    <mergeCell ref="K256:K258"/>
    <mergeCell ref="L256:L258"/>
    <mergeCell ref="M256:M258"/>
    <mergeCell ref="R256:R258"/>
    <mergeCell ref="S256:S258"/>
    <mergeCell ref="S270:S272"/>
    <mergeCell ref="K273:K275"/>
    <mergeCell ref="L273:L275"/>
    <mergeCell ref="M273:M275"/>
    <mergeCell ref="R273:R275"/>
    <mergeCell ref="S273:S275"/>
    <mergeCell ref="S264:S266"/>
    <mergeCell ref="K267:K269"/>
    <mergeCell ref="L267:L269"/>
    <mergeCell ref="M267:M269"/>
    <mergeCell ref="R267:R269"/>
    <mergeCell ref="S267:S269"/>
    <mergeCell ref="G264:G284"/>
    <mergeCell ref="H264:H284"/>
    <mergeCell ref="K264:K266"/>
    <mergeCell ref="L264:L266"/>
    <mergeCell ref="M264:M266"/>
    <mergeCell ref="R264:R266"/>
    <mergeCell ref="K270:K272"/>
    <mergeCell ref="L270:L272"/>
    <mergeCell ref="M270:M272"/>
    <mergeCell ref="R270:R272"/>
    <mergeCell ref="K282:K284"/>
    <mergeCell ref="L282:L284"/>
    <mergeCell ref="M282:M284"/>
    <mergeCell ref="R282:R284"/>
    <mergeCell ref="S282:S284"/>
    <mergeCell ref="A285:A307"/>
    <mergeCell ref="B285:B307"/>
    <mergeCell ref="K285:L286"/>
    <mergeCell ref="M285:M286"/>
    <mergeCell ref="S285:S286"/>
    <mergeCell ref="K276:K278"/>
    <mergeCell ref="L276:L278"/>
    <mergeCell ref="M276:M278"/>
    <mergeCell ref="R276:R278"/>
    <mergeCell ref="S276:S278"/>
    <mergeCell ref="K279:K281"/>
    <mergeCell ref="L279:L281"/>
    <mergeCell ref="M279:M281"/>
    <mergeCell ref="R279:R281"/>
    <mergeCell ref="S279:S281"/>
    <mergeCell ref="S293:S295"/>
    <mergeCell ref="K296:K298"/>
    <mergeCell ref="L296:L298"/>
    <mergeCell ref="M296:M298"/>
    <mergeCell ref="R296:R298"/>
    <mergeCell ref="S296:S298"/>
    <mergeCell ref="S287:S289"/>
    <mergeCell ref="K290:K292"/>
    <mergeCell ref="L290:L292"/>
    <mergeCell ref="M290:M292"/>
    <mergeCell ref="R290:R292"/>
    <mergeCell ref="S290:S292"/>
    <mergeCell ref="G287:G307"/>
    <mergeCell ref="H287:H307"/>
    <mergeCell ref="K287:K289"/>
    <mergeCell ref="L287:L289"/>
    <mergeCell ref="M287:M289"/>
    <mergeCell ref="R287:R289"/>
    <mergeCell ref="K293:K295"/>
    <mergeCell ref="L293:L295"/>
    <mergeCell ref="M293:M295"/>
    <mergeCell ref="R293:R295"/>
    <mergeCell ref="K305:K307"/>
    <mergeCell ref="L305:L307"/>
    <mergeCell ref="M305:M307"/>
    <mergeCell ref="R305:R307"/>
    <mergeCell ref="S305:S307"/>
    <mergeCell ref="A308:A330"/>
    <mergeCell ref="B308:B330"/>
    <mergeCell ref="K308:L309"/>
    <mergeCell ref="M308:M309"/>
    <mergeCell ref="S308:S309"/>
    <mergeCell ref="K299:K301"/>
    <mergeCell ref="L299:L301"/>
    <mergeCell ref="M299:M301"/>
    <mergeCell ref="R299:R301"/>
    <mergeCell ref="S299:S301"/>
    <mergeCell ref="K302:K304"/>
    <mergeCell ref="L302:L304"/>
    <mergeCell ref="M302:M304"/>
    <mergeCell ref="R302:R304"/>
    <mergeCell ref="S302:S304"/>
    <mergeCell ref="S316:S318"/>
    <mergeCell ref="K319:K321"/>
    <mergeCell ref="L319:L321"/>
    <mergeCell ref="M319:M321"/>
    <mergeCell ref="R319:R321"/>
    <mergeCell ref="S319:S321"/>
    <mergeCell ref="S310:S312"/>
    <mergeCell ref="K313:K315"/>
    <mergeCell ref="L313:L315"/>
    <mergeCell ref="M313:M315"/>
    <mergeCell ref="R313:R315"/>
    <mergeCell ref="S313:S315"/>
    <mergeCell ref="G310:G330"/>
    <mergeCell ref="H310:H330"/>
    <mergeCell ref="K310:K312"/>
    <mergeCell ref="L310:L312"/>
    <mergeCell ref="M310:M312"/>
    <mergeCell ref="R310:R312"/>
    <mergeCell ref="K316:K318"/>
    <mergeCell ref="L316:L318"/>
    <mergeCell ref="M316:M318"/>
    <mergeCell ref="R316:R318"/>
    <mergeCell ref="K328:K330"/>
    <mergeCell ref="L328:L330"/>
    <mergeCell ref="M328:M330"/>
    <mergeCell ref="R328:R330"/>
    <mergeCell ref="S328:S330"/>
    <mergeCell ref="A331:A353"/>
    <mergeCell ref="B331:B353"/>
    <mergeCell ref="K331:L332"/>
    <mergeCell ref="M331:M332"/>
    <mergeCell ref="S331:S332"/>
    <mergeCell ref="K322:K324"/>
    <mergeCell ref="L322:L324"/>
    <mergeCell ref="M322:M324"/>
    <mergeCell ref="R322:R324"/>
    <mergeCell ref="S322:S324"/>
    <mergeCell ref="K325:K327"/>
    <mergeCell ref="L325:L327"/>
    <mergeCell ref="M325:M327"/>
    <mergeCell ref="R325:R327"/>
    <mergeCell ref="S325:S327"/>
    <mergeCell ref="S339:S341"/>
    <mergeCell ref="K342:K344"/>
    <mergeCell ref="L342:L344"/>
    <mergeCell ref="M342:M344"/>
    <mergeCell ref="R342:R344"/>
    <mergeCell ref="S342:S344"/>
    <mergeCell ref="S333:S335"/>
    <mergeCell ref="K336:K338"/>
    <mergeCell ref="L336:L338"/>
    <mergeCell ref="M336:M338"/>
    <mergeCell ref="R336:R338"/>
    <mergeCell ref="S336:S338"/>
    <mergeCell ref="G333:G353"/>
    <mergeCell ref="H333:H353"/>
    <mergeCell ref="K333:K335"/>
    <mergeCell ref="L333:L335"/>
    <mergeCell ref="M333:M335"/>
    <mergeCell ref="R333:R335"/>
    <mergeCell ref="K339:K341"/>
    <mergeCell ref="L339:L341"/>
    <mergeCell ref="M339:M341"/>
    <mergeCell ref="R339:R341"/>
    <mergeCell ref="K351:K353"/>
    <mergeCell ref="L351:L353"/>
    <mergeCell ref="M351:M353"/>
    <mergeCell ref="R351:R353"/>
    <mergeCell ref="S351:S353"/>
    <mergeCell ref="A354:A376"/>
    <mergeCell ref="B354:B376"/>
    <mergeCell ref="K354:L355"/>
    <mergeCell ref="M354:M355"/>
    <mergeCell ref="S354:S355"/>
    <mergeCell ref="K345:K347"/>
    <mergeCell ref="L345:L347"/>
    <mergeCell ref="M345:M347"/>
    <mergeCell ref="R345:R347"/>
    <mergeCell ref="S345:S347"/>
    <mergeCell ref="K348:K350"/>
    <mergeCell ref="L348:L350"/>
    <mergeCell ref="M348:M350"/>
    <mergeCell ref="R348:R350"/>
    <mergeCell ref="S348:S350"/>
    <mergeCell ref="S362:S364"/>
    <mergeCell ref="K365:K367"/>
    <mergeCell ref="L365:L367"/>
    <mergeCell ref="M365:M367"/>
    <mergeCell ref="R365:R367"/>
    <mergeCell ref="S365:S367"/>
    <mergeCell ref="S356:S358"/>
    <mergeCell ref="K359:K361"/>
    <mergeCell ref="L359:L361"/>
    <mergeCell ref="M359:M361"/>
    <mergeCell ref="R359:R361"/>
    <mergeCell ref="S359:S361"/>
    <mergeCell ref="G356:G376"/>
    <mergeCell ref="H356:H376"/>
    <mergeCell ref="K356:K358"/>
    <mergeCell ref="L356:L358"/>
    <mergeCell ref="M356:M358"/>
    <mergeCell ref="R356:R358"/>
    <mergeCell ref="K362:K364"/>
    <mergeCell ref="L362:L364"/>
    <mergeCell ref="M362:M364"/>
    <mergeCell ref="R362:R364"/>
    <mergeCell ref="K374:K376"/>
    <mergeCell ref="L374:L376"/>
    <mergeCell ref="M374:M376"/>
    <mergeCell ref="R374:R376"/>
    <mergeCell ref="S374:S376"/>
    <mergeCell ref="A377:A399"/>
    <mergeCell ref="B377:B399"/>
    <mergeCell ref="K377:L378"/>
    <mergeCell ref="M377:M378"/>
    <mergeCell ref="S377:S378"/>
    <mergeCell ref="K368:K370"/>
    <mergeCell ref="L368:L370"/>
    <mergeCell ref="M368:M370"/>
    <mergeCell ref="R368:R370"/>
    <mergeCell ref="S368:S370"/>
    <mergeCell ref="K371:K373"/>
    <mergeCell ref="L371:L373"/>
    <mergeCell ref="M371:M373"/>
    <mergeCell ref="R371:R373"/>
    <mergeCell ref="S371:S373"/>
    <mergeCell ref="S385:S387"/>
    <mergeCell ref="K388:K390"/>
    <mergeCell ref="L388:L390"/>
    <mergeCell ref="M388:M390"/>
    <mergeCell ref="R388:R390"/>
    <mergeCell ref="S388:S390"/>
    <mergeCell ref="S379:S381"/>
    <mergeCell ref="K382:K384"/>
    <mergeCell ref="L382:L384"/>
    <mergeCell ref="M382:M384"/>
    <mergeCell ref="R382:R384"/>
    <mergeCell ref="S382:S384"/>
    <mergeCell ref="G379:G399"/>
    <mergeCell ref="H379:H399"/>
    <mergeCell ref="K379:K381"/>
    <mergeCell ref="L379:L381"/>
    <mergeCell ref="M379:M381"/>
    <mergeCell ref="R379:R381"/>
    <mergeCell ref="K385:K387"/>
    <mergeCell ref="L385:L387"/>
    <mergeCell ref="M385:M387"/>
    <mergeCell ref="R385:R387"/>
    <mergeCell ref="K397:K399"/>
    <mergeCell ref="L397:L399"/>
    <mergeCell ref="M397:M399"/>
    <mergeCell ref="R397:R399"/>
    <mergeCell ref="S397:S399"/>
    <mergeCell ref="K400:L401"/>
    <mergeCell ref="M400:M401"/>
    <mergeCell ref="S400:S401"/>
    <mergeCell ref="K391:K393"/>
    <mergeCell ref="L391:L393"/>
    <mergeCell ref="M391:M393"/>
    <mergeCell ref="R391:R393"/>
    <mergeCell ref="S391:S393"/>
    <mergeCell ref="K394:K396"/>
    <mergeCell ref="L394:L396"/>
    <mergeCell ref="M394:M396"/>
    <mergeCell ref="R394:R396"/>
    <mergeCell ref="S394:S396"/>
    <mergeCell ref="M408:M410"/>
    <mergeCell ref="R408:R410"/>
    <mergeCell ref="S408:S410"/>
    <mergeCell ref="K411:K413"/>
    <mergeCell ref="L411:L413"/>
    <mergeCell ref="M411:M413"/>
    <mergeCell ref="R411:R413"/>
    <mergeCell ref="S411:S413"/>
    <mergeCell ref="M402:M404"/>
    <mergeCell ref="R402:R404"/>
    <mergeCell ref="S402:S404"/>
    <mergeCell ref="BQ402:BQ434"/>
    <mergeCell ref="BR402:BR434"/>
    <mergeCell ref="K405:K407"/>
    <mergeCell ref="L405:L407"/>
    <mergeCell ref="M405:M407"/>
    <mergeCell ref="R405:R407"/>
    <mergeCell ref="S405:S407"/>
    <mergeCell ref="K402:K404"/>
    <mergeCell ref="L402:L404"/>
    <mergeCell ref="K408:K410"/>
    <mergeCell ref="L408:L410"/>
    <mergeCell ref="K414:K416"/>
    <mergeCell ref="L414:L416"/>
    <mergeCell ref="K420:K422"/>
    <mergeCell ref="L420:L422"/>
    <mergeCell ref="M420:M422"/>
    <mergeCell ref="R420:R422"/>
    <mergeCell ref="S420:S422"/>
    <mergeCell ref="K423:K425"/>
    <mergeCell ref="L423:L425"/>
    <mergeCell ref="M423:M425"/>
    <mergeCell ref="R423:R425"/>
    <mergeCell ref="S423:S425"/>
    <mergeCell ref="M414:M416"/>
    <mergeCell ref="R414:R416"/>
    <mergeCell ref="S414:S416"/>
    <mergeCell ref="K417:K419"/>
    <mergeCell ref="L417:L419"/>
    <mergeCell ref="M417:M419"/>
    <mergeCell ref="R417:R419"/>
    <mergeCell ref="S417:S419"/>
    <mergeCell ref="L435:L437"/>
    <mergeCell ref="M435:M437"/>
    <mergeCell ref="R435:R437"/>
    <mergeCell ref="S435:S437"/>
    <mergeCell ref="BQ435:BQ467"/>
    <mergeCell ref="BR435:BR467"/>
    <mergeCell ref="K432:K434"/>
    <mergeCell ref="L432:L434"/>
    <mergeCell ref="M432:M434"/>
    <mergeCell ref="R432:R434"/>
    <mergeCell ref="S432:S434"/>
    <mergeCell ref="A435:A467"/>
    <mergeCell ref="B435:B467"/>
    <mergeCell ref="G435:G467"/>
    <mergeCell ref="H435:H467"/>
    <mergeCell ref="K435:K437"/>
    <mergeCell ref="K426:K428"/>
    <mergeCell ref="L426:L428"/>
    <mergeCell ref="M426:M428"/>
    <mergeCell ref="R426:R428"/>
    <mergeCell ref="S426:S428"/>
    <mergeCell ref="K429:K431"/>
    <mergeCell ref="L429:L431"/>
    <mergeCell ref="M429:M431"/>
    <mergeCell ref="R429:R431"/>
    <mergeCell ref="S429:S431"/>
    <mergeCell ref="A402:A434"/>
    <mergeCell ref="B402:B434"/>
    <mergeCell ref="G402:G434"/>
    <mergeCell ref="H402:H434"/>
    <mergeCell ref="K444:K446"/>
    <mergeCell ref="L444:L446"/>
    <mergeCell ref="M444:M446"/>
    <mergeCell ref="R444:R446"/>
    <mergeCell ref="S444:S446"/>
    <mergeCell ref="K447:K449"/>
    <mergeCell ref="L447:L449"/>
    <mergeCell ref="M447:M449"/>
    <mergeCell ref="R447:R449"/>
    <mergeCell ref="S447:S449"/>
    <mergeCell ref="K438:K440"/>
    <mergeCell ref="L438:L440"/>
    <mergeCell ref="M438:M440"/>
    <mergeCell ref="R438:R440"/>
    <mergeCell ref="S438:S440"/>
    <mergeCell ref="K441:K443"/>
    <mergeCell ref="L441:L443"/>
    <mergeCell ref="M441:M443"/>
    <mergeCell ref="R441:R443"/>
    <mergeCell ref="S441:S443"/>
    <mergeCell ref="K456:K458"/>
    <mergeCell ref="L456:L458"/>
    <mergeCell ref="M456:M458"/>
    <mergeCell ref="R456:R458"/>
    <mergeCell ref="S456:S458"/>
    <mergeCell ref="K459:K461"/>
    <mergeCell ref="L459:L461"/>
    <mergeCell ref="M459:M461"/>
    <mergeCell ref="R459:R461"/>
    <mergeCell ref="S459:S461"/>
    <mergeCell ref="K450:K452"/>
    <mergeCell ref="L450:L452"/>
    <mergeCell ref="M450:M452"/>
    <mergeCell ref="R450:R452"/>
    <mergeCell ref="S450:S452"/>
    <mergeCell ref="K453:K455"/>
    <mergeCell ref="L453:L455"/>
    <mergeCell ref="M453:M455"/>
    <mergeCell ref="R453:R455"/>
    <mergeCell ref="S453:S455"/>
    <mergeCell ref="K476:K477"/>
    <mergeCell ref="L476:L477"/>
    <mergeCell ref="M476:M477"/>
    <mergeCell ref="R476:R477"/>
    <mergeCell ref="S476:S477"/>
    <mergeCell ref="BG476:BG477"/>
    <mergeCell ref="A469:A471"/>
    <mergeCell ref="B469:B471"/>
    <mergeCell ref="A472:A473"/>
    <mergeCell ref="B472:B473"/>
    <mergeCell ref="A474:A487"/>
    <mergeCell ref="B474:B487"/>
    <mergeCell ref="K462:K464"/>
    <mergeCell ref="L462:L464"/>
    <mergeCell ref="M462:M464"/>
    <mergeCell ref="R462:R464"/>
    <mergeCell ref="S462:S464"/>
    <mergeCell ref="K465:K467"/>
    <mergeCell ref="L465:L467"/>
    <mergeCell ref="M465:M467"/>
    <mergeCell ref="R465:R467"/>
    <mergeCell ref="S465:S467"/>
    <mergeCell ref="K482:K483"/>
    <mergeCell ref="L482:L483"/>
    <mergeCell ref="M482:M483"/>
    <mergeCell ref="R482:R483"/>
    <mergeCell ref="S482:S483"/>
    <mergeCell ref="BG482:BG483"/>
    <mergeCell ref="K480:K481"/>
    <mergeCell ref="L480:L481"/>
    <mergeCell ref="M480:M481"/>
    <mergeCell ref="R480:R481"/>
    <mergeCell ref="S480:S481"/>
    <mergeCell ref="BG480:BG481"/>
    <mergeCell ref="K478:K479"/>
    <mergeCell ref="L478:L479"/>
    <mergeCell ref="M478:M479"/>
    <mergeCell ref="R478:R479"/>
    <mergeCell ref="S478:S479"/>
    <mergeCell ref="BG478:BG479"/>
    <mergeCell ref="A488:A489"/>
    <mergeCell ref="B488:B489"/>
    <mergeCell ref="B490:B491"/>
    <mergeCell ref="G490:G491"/>
    <mergeCell ref="BG490:BG491"/>
    <mergeCell ref="K486:K487"/>
    <mergeCell ref="L486:L487"/>
    <mergeCell ref="M486:M487"/>
    <mergeCell ref="R486:R487"/>
    <mergeCell ref="S486:S487"/>
    <mergeCell ref="BG486:BG487"/>
    <mergeCell ref="K484:K485"/>
    <mergeCell ref="L484:L485"/>
    <mergeCell ref="M484:M485"/>
    <mergeCell ref="R484:R485"/>
    <mergeCell ref="S484:S485"/>
    <mergeCell ref="BG484:BG48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дек20 (факт)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Айгерим Р. Омарова</dc:creator>
  <cp:lastModifiedBy>Жасулан К. Куанышбаев</cp:lastModifiedBy>
  <dcterms:created xsi:type="dcterms:W3CDTF">2021-02-03T04:18:52Z</dcterms:created>
  <dcterms:modified xsi:type="dcterms:W3CDTF">2023-09-29T06:50:24Z</dcterms:modified>
</cp:coreProperties>
</file>