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zetova_a\Desktop\"/>
    </mc:Choice>
  </mc:AlternateContent>
  <xr:revisionPtr revIDLastSave="0" documentId="8_{B8B0A324-0C78-4A89-B5CD-6002ECC90465}" xr6:coauthVersionLast="40" xr6:coauthVersionMax="40" xr10:uidLastSave="{00000000-0000-0000-0000-000000000000}"/>
  <bookViews>
    <workbookView xWindow="0" yWindow="0" windowWidth="28800" windowHeight="12165" xr2:uid="{CA20214C-2733-4AE3-B458-9A5A1A9EF000}"/>
  </bookViews>
  <sheets>
    <sheet name="дек18 (факт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________SP1" localSheetId="0">[2]FES!#REF!</definedName>
    <definedName name="__________SP1">[2]FES!#REF!</definedName>
    <definedName name="__________SP10" localSheetId="0">[2]FES!#REF!</definedName>
    <definedName name="__________SP10">[2]FES!#REF!</definedName>
    <definedName name="__________SP11" localSheetId="0">[2]FES!#REF!</definedName>
    <definedName name="__________SP11">[2]FES!#REF!</definedName>
    <definedName name="__________SP12" localSheetId="0">[2]FES!#REF!</definedName>
    <definedName name="__________SP12">[2]FES!#REF!</definedName>
    <definedName name="__________SP13" localSheetId="0">[2]FES!#REF!</definedName>
    <definedName name="__________SP13">[2]FES!#REF!</definedName>
    <definedName name="__________SP14" localSheetId="0">[2]FES!#REF!</definedName>
    <definedName name="__________SP14">[2]FES!#REF!</definedName>
    <definedName name="__________SP15" localSheetId="0">[2]FES!#REF!</definedName>
    <definedName name="__________SP15">[2]FES!#REF!</definedName>
    <definedName name="__________SP16" localSheetId="0">[2]FES!#REF!</definedName>
    <definedName name="__________SP16">[2]FES!#REF!</definedName>
    <definedName name="__________SP17" localSheetId="0">[2]FES!#REF!</definedName>
    <definedName name="__________SP17">[2]FES!#REF!</definedName>
    <definedName name="__________SP18" localSheetId="0">[2]FES!#REF!</definedName>
    <definedName name="__________SP18">[2]FES!#REF!</definedName>
    <definedName name="__________SP19" localSheetId="0">[2]FES!#REF!</definedName>
    <definedName name="__________SP19">[2]FES!#REF!</definedName>
    <definedName name="__________SP2" localSheetId="0">[2]FES!#REF!</definedName>
    <definedName name="__________SP2">[2]FES!#REF!</definedName>
    <definedName name="__________SP20" localSheetId="0">[2]FES!#REF!</definedName>
    <definedName name="__________SP20">[2]FES!#REF!</definedName>
    <definedName name="__________SP3" localSheetId="0">[2]FES!#REF!</definedName>
    <definedName name="__________SP3">[2]FES!#REF!</definedName>
    <definedName name="__________SP4" localSheetId="0">[2]FES!#REF!</definedName>
    <definedName name="__________SP4">[2]FES!#REF!</definedName>
    <definedName name="__________SP5" localSheetId="0">[2]FES!#REF!</definedName>
    <definedName name="__________SP5">[2]FES!#REF!</definedName>
    <definedName name="__________SP7" localSheetId="0">[2]FES!#REF!</definedName>
    <definedName name="__________SP7">[2]FES!#REF!</definedName>
    <definedName name="__________SP8" localSheetId="0">[2]FES!#REF!</definedName>
    <definedName name="__________SP8">[2]FES!#REF!</definedName>
    <definedName name="__________SP9" localSheetId="0">[2]FES!#REF!</definedName>
    <definedName name="__________SP9">[2]FES!#REF!</definedName>
    <definedName name="_________SP1" localSheetId="0">[3]FES!#REF!</definedName>
    <definedName name="_________SP1">[3]FES!#REF!</definedName>
    <definedName name="_________SP10" localSheetId="0">[3]FES!#REF!</definedName>
    <definedName name="_________SP10">[3]FES!#REF!</definedName>
    <definedName name="_________SP11" localSheetId="0">[3]FES!#REF!</definedName>
    <definedName name="_________SP11">[3]FES!#REF!</definedName>
    <definedName name="_________SP12" localSheetId="0">[3]FES!#REF!</definedName>
    <definedName name="_________SP12">[3]FES!#REF!</definedName>
    <definedName name="_________SP13" localSheetId="0">[3]FES!#REF!</definedName>
    <definedName name="_________SP13">[3]FES!#REF!</definedName>
    <definedName name="_________SP14" localSheetId="0">[3]FES!#REF!</definedName>
    <definedName name="_________SP14">[3]FES!#REF!</definedName>
    <definedName name="_________SP15" localSheetId="0">[3]FES!#REF!</definedName>
    <definedName name="_________SP15">[3]FES!#REF!</definedName>
    <definedName name="_________SP16" localSheetId="0">[3]FES!#REF!</definedName>
    <definedName name="_________SP16">[3]FES!#REF!</definedName>
    <definedName name="_________SP17" localSheetId="0">[3]FES!#REF!</definedName>
    <definedName name="_________SP17">[3]FES!#REF!</definedName>
    <definedName name="_________SP18" localSheetId="0">[3]FES!#REF!</definedName>
    <definedName name="_________SP18">[3]FES!#REF!</definedName>
    <definedName name="_________SP19" localSheetId="0">[3]FES!#REF!</definedName>
    <definedName name="_________SP19">[3]FES!#REF!</definedName>
    <definedName name="_________SP2" localSheetId="0">[3]FES!#REF!</definedName>
    <definedName name="_________SP2">[3]FES!#REF!</definedName>
    <definedName name="_________SP20" localSheetId="0">[3]FES!#REF!</definedName>
    <definedName name="_________SP20">[3]FES!#REF!</definedName>
    <definedName name="_________SP3" localSheetId="0">[3]FES!#REF!</definedName>
    <definedName name="_________SP3">[3]FES!#REF!</definedName>
    <definedName name="_________SP4" localSheetId="0">[3]FES!#REF!</definedName>
    <definedName name="_________SP4">[3]FES!#REF!</definedName>
    <definedName name="_________SP5" localSheetId="0">[3]FES!#REF!</definedName>
    <definedName name="_________SP5">[3]FES!#REF!</definedName>
    <definedName name="_________SP7" localSheetId="0">[3]FES!#REF!</definedName>
    <definedName name="_________SP7">[3]FES!#REF!</definedName>
    <definedName name="_________SP8" localSheetId="0">[3]FES!#REF!</definedName>
    <definedName name="_________SP8">[3]FES!#REF!</definedName>
    <definedName name="_________SP9" localSheetId="0">[3]FES!#REF!</definedName>
    <definedName name="_________SP9">[3]FES!#REF!</definedName>
    <definedName name="________SP1" localSheetId="0">[4]FES!#REF!</definedName>
    <definedName name="________SP1">[4]FES!#REF!</definedName>
    <definedName name="________SP10" localSheetId="0">[4]FES!#REF!</definedName>
    <definedName name="________SP10">[4]FES!#REF!</definedName>
    <definedName name="________SP11" localSheetId="0">[4]FES!#REF!</definedName>
    <definedName name="________SP11">[4]FES!#REF!</definedName>
    <definedName name="________SP12" localSheetId="0">[4]FES!#REF!</definedName>
    <definedName name="________SP12">[4]FES!#REF!</definedName>
    <definedName name="________SP13" localSheetId="0">[4]FES!#REF!</definedName>
    <definedName name="________SP13">[4]FES!#REF!</definedName>
    <definedName name="________SP14" localSheetId="0">[4]FES!#REF!</definedName>
    <definedName name="________SP14">[4]FES!#REF!</definedName>
    <definedName name="________SP15" localSheetId="0">[4]FES!#REF!</definedName>
    <definedName name="________SP15">[4]FES!#REF!</definedName>
    <definedName name="________SP16" localSheetId="0">[4]FES!#REF!</definedName>
    <definedName name="________SP16">[4]FES!#REF!</definedName>
    <definedName name="________SP17" localSheetId="0">[4]FES!#REF!</definedName>
    <definedName name="________SP17">[4]FES!#REF!</definedName>
    <definedName name="________SP18" localSheetId="0">[4]FES!#REF!</definedName>
    <definedName name="________SP18">[4]FES!#REF!</definedName>
    <definedName name="________SP19" localSheetId="0">[4]FES!#REF!</definedName>
    <definedName name="________SP19">[4]FES!#REF!</definedName>
    <definedName name="________SP2" localSheetId="0">[4]FES!#REF!</definedName>
    <definedName name="________SP2">[4]FES!#REF!</definedName>
    <definedName name="________SP20" localSheetId="0">[4]FES!#REF!</definedName>
    <definedName name="________SP20">[4]FES!#REF!</definedName>
    <definedName name="________SP3" localSheetId="0">[4]FES!#REF!</definedName>
    <definedName name="________SP3">[4]FES!#REF!</definedName>
    <definedName name="________SP4" localSheetId="0">[4]FES!#REF!</definedName>
    <definedName name="________SP4">[4]FES!#REF!</definedName>
    <definedName name="________SP5" localSheetId="0">[4]FES!#REF!</definedName>
    <definedName name="________SP5">[4]FES!#REF!</definedName>
    <definedName name="________SP7" localSheetId="0">[4]FES!#REF!</definedName>
    <definedName name="________SP7">[4]FES!#REF!</definedName>
    <definedName name="________SP8" localSheetId="0">[4]FES!#REF!</definedName>
    <definedName name="________SP8">[4]FES!#REF!</definedName>
    <definedName name="________SP9" localSheetId="0">[4]FES!#REF!</definedName>
    <definedName name="________SP9">[4]FES!#REF!</definedName>
    <definedName name="_______SP1" localSheetId="0">[3]FES!#REF!</definedName>
    <definedName name="_______SP1">[3]FES!#REF!</definedName>
    <definedName name="_______SP10" localSheetId="0">[3]FES!#REF!</definedName>
    <definedName name="_______SP10">[3]FES!#REF!</definedName>
    <definedName name="_______SP11" localSheetId="0">[3]FES!#REF!</definedName>
    <definedName name="_______SP11">[3]FES!#REF!</definedName>
    <definedName name="_______SP12" localSheetId="0">[3]FES!#REF!</definedName>
    <definedName name="_______SP12">[3]FES!#REF!</definedName>
    <definedName name="_______SP13" localSheetId="0">[3]FES!#REF!</definedName>
    <definedName name="_______SP13">[3]FES!#REF!</definedName>
    <definedName name="_______SP14" localSheetId="0">[3]FES!#REF!</definedName>
    <definedName name="_______SP14">[3]FES!#REF!</definedName>
    <definedName name="_______SP15" localSheetId="0">[3]FES!#REF!</definedName>
    <definedName name="_______SP15">[3]FES!#REF!</definedName>
    <definedName name="_______SP16" localSheetId="0">[3]FES!#REF!</definedName>
    <definedName name="_______SP16">[3]FES!#REF!</definedName>
    <definedName name="_______SP17" localSheetId="0">[3]FES!#REF!</definedName>
    <definedName name="_______SP17">[3]FES!#REF!</definedName>
    <definedName name="_______SP18" localSheetId="0">[3]FES!#REF!</definedName>
    <definedName name="_______SP18">[3]FES!#REF!</definedName>
    <definedName name="_______SP19" localSheetId="0">[3]FES!#REF!</definedName>
    <definedName name="_______SP19">[3]FES!#REF!</definedName>
    <definedName name="_______SP2" localSheetId="0">[3]FES!#REF!</definedName>
    <definedName name="_______SP2">[3]FES!#REF!</definedName>
    <definedName name="_______SP20" localSheetId="0">[3]FES!#REF!</definedName>
    <definedName name="_______SP20">[3]FES!#REF!</definedName>
    <definedName name="_______SP3" localSheetId="0">[3]FES!#REF!</definedName>
    <definedName name="_______SP3">[3]FES!#REF!</definedName>
    <definedName name="_______SP4" localSheetId="0">[3]FES!#REF!</definedName>
    <definedName name="_______SP4">[3]FES!#REF!</definedName>
    <definedName name="_______SP5" localSheetId="0">[3]FES!#REF!</definedName>
    <definedName name="_______SP5">[3]FES!#REF!</definedName>
    <definedName name="_______SP7" localSheetId="0">[3]FES!#REF!</definedName>
    <definedName name="_______SP7">[3]FES!#REF!</definedName>
    <definedName name="_______SP8" localSheetId="0">[3]FES!#REF!</definedName>
    <definedName name="_______SP8">[3]FES!#REF!</definedName>
    <definedName name="_______SP9" localSheetId="0">[3]FES!#REF!</definedName>
    <definedName name="_______SP9">[3]FES!#REF!</definedName>
    <definedName name="______SP1" localSheetId="0">[3]FES!#REF!</definedName>
    <definedName name="______SP1">[3]FES!#REF!</definedName>
    <definedName name="______SP10" localSheetId="0">[3]FES!#REF!</definedName>
    <definedName name="______SP10">[3]FES!#REF!</definedName>
    <definedName name="______SP11" localSheetId="0">[3]FES!#REF!</definedName>
    <definedName name="______SP11">[3]FES!#REF!</definedName>
    <definedName name="______SP12" localSheetId="0">[3]FES!#REF!</definedName>
    <definedName name="______SP12">[3]FES!#REF!</definedName>
    <definedName name="______SP13" localSheetId="0">[3]FES!#REF!</definedName>
    <definedName name="______SP13">[3]FES!#REF!</definedName>
    <definedName name="______SP14" localSheetId="0">[3]FES!#REF!</definedName>
    <definedName name="______SP14">[3]FES!#REF!</definedName>
    <definedName name="______SP15" localSheetId="0">[3]FES!#REF!</definedName>
    <definedName name="______SP15">[3]FES!#REF!</definedName>
    <definedName name="______SP16" localSheetId="0">[3]FES!#REF!</definedName>
    <definedName name="______SP16">[3]FES!#REF!</definedName>
    <definedName name="______SP17" localSheetId="0">[3]FES!#REF!</definedName>
    <definedName name="______SP17">[3]FES!#REF!</definedName>
    <definedName name="______SP18" localSheetId="0">[3]FES!#REF!</definedName>
    <definedName name="______SP18">[3]FES!#REF!</definedName>
    <definedName name="______SP19" localSheetId="0">[3]FES!#REF!</definedName>
    <definedName name="______SP19">[3]FES!#REF!</definedName>
    <definedName name="______SP2" localSheetId="0">[3]FES!#REF!</definedName>
    <definedName name="______SP2">[3]FES!#REF!</definedName>
    <definedName name="______SP20" localSheetId="0">[3]FES!#REF!</definedName>
    <definedName name="______SP20">[3]FES!#REF!</definedName>
    <definedName name="______SP3" localSheetId="0">[3]FES!#REF!</definedName>
    <definedName name="______SP3">[3]FES!#REF!</definedName>
    <definedName name="______SP4" localSheetId="0">[3]FES!#REF!</definedName>
    <definedName name="______SP4">[3]FES!#REF!</definedName>
    <definedName name="______SP5" localSheetId="0">[3]FES!#REF!</definedName>
    <definedName name="______SP5">[3]FES!#REF!</definedName>
    <definedName name="______SP7" localSheetId="0">[3]FES!#REF!</definedName>
    <definedName name="______SP7">[3]FES!#REF!</definedName>
    <definedName name="______SP8" localSheetId="0">[3]FES!#REF!</definedName>
    <definedName name="______SP8">[3]FES!#REF!</definedName>
    <definedName name="______SP9" localSheetId="0">[3]FES!#REF!</definedName>
    <definedName name="______SP9">[3]FES!#REF!</definedName>
    <definedName name="_____B650000" localSheetId="0">#REF!</definedName>
    <definedName name="_____B650000">#REF!</definedName>
    <definedName name="_____SP1" localSheetId="0">[3]FES!#REF!</definedName>
    <definedName name="_____SP1">[3]FES!#REF!</definedName>
    <definedName name="_____SP10" localSheetId="0">[3]FES!#REF!</definedName>
    <definedName name="_____SP10">[3]FES!#REF!</definedName>
    <definedName name="_____SP11" localSheetId="0">[3]FES!#REF!</definedName>
    <definedName name="_____SP11">[3]FES!#REF!</definedName>
    <definedName name="_____SP12" localSheetId="0">[3]FES!#REF!</definedName>
    <definedName name="_____SP12">[3]FES!#REF!</definedName>
    <definedName name="_____SP13" localSheetId="0">[3]FES!#REF!</definedName>
    <definedName name="_____SP13">[3]FES!#REF!</definedName>
    <definedName name="_____SP14" localSheetId="0">[3]FES!#REF!</definedName>
    <definedName name="_____SP14">[3]FES!#REF!</definedName>
    <definedName name="_____SP15" localSheetId="0">[3]FES!#REF!</definedName>
    <definedName name="_____SP15">[3]FES!#REF!</definedName>
    <definedName name="_____SP16" localSheetId="0">[3]FES!#REF!</definedName>
    <definedName name="_____SP16">[3]FES!#REF!</definedName>
    <definedName name="_____SP17" localSheetId="0">[3]FES!#REF!</definedName>
    <definedName name="_____SP17">[3]FES!#REF!</definedName>
    <definedName name="_____SP18" localSheetId="0">[3]FES!#REF!</definedName>
    <definedName name="_____SP18">[3]FES!#REF!</definedName>
    <definedName name="_____SP19" localSheetId="0">[3]FES!#REF!</definedName>
    <definedName name="_____SP19">[3]FES!#REF!</definedName>
    <definedName name="_____SP2" localSheetId="0">[3]FES!#REF!</definedName>
    <definedName name="_____SP2">[3]FES!#REF!</definedName>
    <definedName name="_____SP20" localSheetId="0">[3]FES!#REF!</definedName>
    <definedName name="_____SP20">[3]FES!#REF!</definedName>
    <definedName name="_____SP3" localSheetId="0">[3]FES!#REF!</definedName>
    <definedName name="_____SP3">[3]FES!#REF!</definedName>
    <definedName name="_____SP4" localSheetId="0">[3]FES!#REF!</definedName>
    <definedName name="_____SP4">[3]FES!#REF!</definedName>
    <definedName name="_____SP5" localSheetId="0">[3]FES!#REF!</definedName>
    <definedName name="_____SP5">[3]FES!#REF!</definedName>
    <definedName name="_____SP7" localSheetId="0">[3]FES!#REF!</definedName>
    <definedName name="_____SP7">[3]FES!#REF!</definedName>
    <definedName name="_____SP8" localSheetId="0">[3]FES!#REF!</definedName>
    <definedName name="_____SP8">[3]FES!#REF!</definedName>
    <definedName name="_____SP9" localSheetId="0">[3]FES!#REF!</definedName>
    <definedName name="_____SP9">[3]FES!#REF!</definedName>
    <definedName name="____B270000" localSheetId="0">#REF!</definedName>
    <definedName name="____B270000">#REF!</definedName>
    <definedName name="____B650000" localSheetId="0">#REF!</definedName>
    <definedName name="____B650000">#REF!</definedName>
    <definedName name="____DAT1" localSheetId="0">'[5]ЦХЛ 2004'!#REF!</definedName>
    <definedName name="____DAT1">'[5]ЦХЛ 2004'!#REF!</definedName>
    <definedName name="____DAT2" localSheetId="0">'[5]ЦХЛ 2004'!#REF!</definedName>
    <definedName name="____DAT2">'[5]ЦХЛ 2004'!#REF!</definedName>
    <definedName name="____DAT3" localSheetId="0">'[5]ЦХЛ 2004'!#REF!</definedName>
    <definedName name="____DAT3">'[5]ЦХЛ 2004'!#REF!</definedName>
    <definedName name="____DAT4" localSheetId="0">'[5]ЦХЛ 2004'!#REF!</definedName>
    <definedName name="____DAT4">'[5]ЦХЛ 2004'!#REF!</definedName>
    <definedName name="____DAT5" localSheetId="0">'[5]ЦХЛ 2004'!#REF!</definedName>
    <definedName name="____DAT5">'[5]ЦХЛ 2004'!#REF!</definedName>
    <definedName name="____DAT7" localSheetId="0">#REF!</definedName>
    <definedName name="____DAT7">#REF!</definedName>
    <definedName name="____DAT8" localSheetId="0">#REF!</definedName>
    <definedName name="____DAT8">#REF!</definedName>
    <definedName name="____DAT9" localSheetId="0">#REF!</definedName>
    <definedName name="____DAT9">#REF!</definedName>
    <definedName name="____SP1" localSheetId="0">[3]FES!#REF!</definedName>
    <definedName name="____SP1">[3]FES!#REF!</definedName>
    <definedName name="____SP10" localSheetId="0">[3]FES!#REF!</definedName>
    <definedName name="____SP10">[3]FES!#REF!</definedName>
    <definedName name="____SP11" localSheetId="0">[3]FES!#REF!</definedName>
    <definedName name="____SP11">[3]FES!#REF!</definedName>
    <definedName name="____SP12" localSheetId="0">[3]FES!#REF!</definedName>
    <definedName name="____SP12">[3]FES!#REF!</definedName>
    <definedName name="____SP13" localSheetId="0">[3]FES!#REF!</definedName>
    <definedName name="____SP13">[3]FES!#REF!</definedName>
    <definedName name="____SP14" localSheetId="0">[3]FES!#REF!</definedName>
    <definedName name="____SP14">[3]FES!#REF!</definedName>
    <definedName name="____SP15" localSheetId="0">[3]FES!#REF!</definedName>
    <definedName name="____SP15">[3]FES!#REF!</definedName>
    <definedName name="____SP16" localSheetId="0">[3]FES!#REF!</definedName>
    <definedName name="____SP16">[3]FES!#REF!</definedName>
    <definedName name="____SP17" localSheetId="0">[3]FES!#REF!</definedName>
    <definedName name="____SP17">[3]FES!#REF!</definedName>
    <definedName name="____SP18" localSheetId="0">[3]FES!#REF!</definedName>
    <definedName name="____SP18">[3]FES!#REF!</definedName>
    <definedName name="____SP19" localSheetId="0">[3]FES!#REF!</definedName>
    <definedName name="____SP19">[3]FES!#REF!</definedName>
    <definedName name="____SP2" localSheetId="0">[3]FES!#REF!</definedName>
    <definedName name="____SP2">[3]FES!#REF!</definedName>
    <definedName name="____SP20" localSheetId="0">[3]FES!#REF!</definedName>
    <definedName name="____SP20">[3]FES!#REF!</definedName>
    <definedName name="____SP3" localSheetId="0">[3]FES!#REF!</definedName>
    <definedName name="____SP3">[3]FES!#REF!</definedName>
    <definedName name="____SP4" localSheetId="0">[3]FES!#REF!</definedName>
    <definedName name="____SP4">[3]FES!#REF!</definedName>
    <definedName name="____SP5" localSheetId="0">[3]FES!#REF!</definedName>
    <definedName name="____SP5">[3]FES!#REF!</definedName>
    <definedName name="____SP7" localSheetId="0">[3]FES!#REF!</definedName>
    <definedName name="____SP7">[3]FES!#REF!</definedName>
    <definedName name="____SP8" localSheetId="0">[3]FES!#REF!</definedName>
    <definedName name="____SP8">[3]FES!#REF!</definedName>
    <definedName name="____SP9" localSheetId="0">[3]FES!#REF!</definedName>
    <definedName name="____SP9">[3]FES!#REF!</definedName>
    <definedName name="___B270000" localSheetId="0">#REF!</definedName>
    <definedName name="___B270000">#REF!</definedName>
    <definedName name="___B650000" localSheetId="0">#REF!</definedName>
    <definedName name="___B650000">#REF!</definedName>
    <definedName name="___DAT1" localSheetId="0">'[5]ЦХЛ 2004'!#REF!</definedName>
    <definedName name="___DAT1">'[5]ЦХЛ 2004'!#REF!</definedName>
    <definedName name="___DAT2" localSheetId="0">'[5]ЦХЛ 2004'!#REF!</definedName>
    <definedName name="___DAT2">'[5]ЦХЛ 2004'!#REF!</definedName>
    <definedName name="___DAT3" localSheetId="0">'[5]ЦХЛ 2004'!#REF!</definedName>
    <definedName name="___DAT3">'[5]ЦХЛ 2004'!#REF!</definedName>
    <definedName name="___DAT4" localSheetId="0">'[5]ЦХЛ 2004'!#REF!</definedName>
    <definedName name="___DAT4">'[5]ЦХЛ 2004'!#REF!</definedName>
    <definedName name="___DAT5" localSheetId="0">'[5]ЦХЛ 2004'!#REF!</definedName>
    <definedName name="___DAT5">'[5]ЦХЛ 2004'!#REF!</definedName>
    <definedName name="___DAT6" localSheetId="0">#REF!</definedName>
    <definedName name="___DAT6">#REF!</definedName>
    <definedName name="___DAT7" localSheetId="0">#REF!</definedName>
    <definedName name="___DAT7">#REF!</definedName>
    <definedName name="___DAT8" localSheetId="0">#REF!</definedName>
    <definedName name="___DAT8">#REF!</definedName>
    <definedName name="___DAT9" localSheetId="0">#REF!</definedName>
    <definedName name="___DAT9">#REF!</definedName>
    <definedName name="___SP1" localSheetId="0">[6]FES!#REF!</definedName>
    <definedName name="___SP1">[6]FES!#REF!</definedName>
    <definedName name="___SP10" localSheetId="0">[6]FES!#REF!</definedName>
    <definedName name="___SP10">[6]FES!#REF!</definedName>
    <definedName name="___SP11" localSheetId="0">[6]FES!#REF!</definedName>
    <definedName name="___SP11">[6]FES!#REF!</definedName>
    <definedName name="___SP12" localSheetId="0">[6]FES!#REF!</definedName>
    <definedName name="___SP12">[6]FES!#REF!</definedName>
    <definedName name="___SP13" localSheetId="0">[6]FES!#REF!</definedName>
    <definedName name="___SP13">[6]FES!#REF!</definedName>
    <definedName name="___SP14" localSheetId="0">[6]FES!#REF!</definedName>
    <definedName name="___SP14">[6]FES!#REF!</definedName>
    <definedName name="___SP15" localSheetId="0">[6]FES!#REF!</definedName>
    <definedName name="___SP15">[6]FES!#REF!</definedName>
    <definedName name="___SP16" localSheetId="0">[6]FES!#REF!</definedName>
    <definedName name="___SP16">[6]FES!#REF!</definedName>
    <definedName name="___SP17" localSheetId="0">[6]FES!#REF!</definedName>
    <definedName name="___SP17">[6]FES!#REF!</definedName>
    <definedName name="___SP18" localSheetId="0">[6]FES!#REF!</definedName>
    <definedName name="___SP18">[6]FES!#REF!</definedName>
    <definedName name="___SP19" localSheetId="0">[6]FES!#REF!</definedName>
    <definedName name="___SP19">[6]FES!#REF!</definedName>
    <definedName name="___SP2" localSheetId="0">[6]FES!#REF!</definedName>
    <definedName name="___SP2">[6]FES!#REF!</definedName>
    <definedName name="___SP20" localSheetId="0">[6]FES!#REF!</definedName>
    <definedName name="___SP20">[6]FES!#REF!</definedName>
    <definedName name="___SP3" localSheetId="0">[6]FES!#REF!</definedName>
    <definedName name="___SP3">[6]FES!#REF!</definedName>
    <definedName name="___SP4" localSheetId="0">[6]FES!#REF!</definedName>
    <definedName name="___SP4">[6]FES!#REF!</definedName>
    <definedName name="___SP5" localSheetId="0">[6]FES!#REF!</definedName>
    <definedName name="___SP5">[6]FES!#REF!</definedName>
    <definedName name="___SP7" localSheetId="0">[6]FES!#REF!</definedName>
    <definedName name="___SP7">[6]FES!#REF!</definedName>
    <definedName name="___SP8" localSheetId="0">[6]FES!#REF!</definedName>
    <definedName name="___SP8">[6]FES!#REF!</definedName>
    <definedName name="___SP9" localSheetId="0">[6]FES!#REF!</definedName>
    <definedName name="___SP9">[6]FES!#REF!</definedName>
    <definedName name="__B270000" localSheetId="0">#REF!</definedName>
    <definedName name="__B270000">#REF!</definedName>
    <definedName name="__B650000" localSheetId="0">#REF!</definedName>
    <definedName name="__B650000">#REF!</definedName>
    <definedName name="__DAT6" localSheetId="0">#REF!</definedName>
    <definedName name="__DAT6">#REF!</definedName>
    <definedName name="__DAT7" localSheetId="0">#REF!</definedName>
    <definedName name="__DAT7">#REF!</definedName>
    <definedName name="__DAT8" localSheetId="0">#REF!</definedName>
    <definedName name="__DAT8">#REF!</definedName>
    <definedName name="__DAT9" localSheetId="0">#REF!</definedName>
    <definedName name="__DAT9">#REF!</definedName>
    <definedName name="__SP1" localSheetId="0">[3]FES!#REF!</definedName>
    <definedName name="__SP1">[3]FES!#REF!</definedName>
    <definedName name="__SP10" localSheetId="0">[3]FES!#REF!</definedName>
    <definedName name="__SP10">[3]FES!#REF!</definedName>
    <definedName name="__SP11" localSheetId="0">[3]FES!#REF!</definedName>
    <definedName name="__SP11">[3]FES!#REF!</definedName>
    <definedName name="__SP12" localSheetId="0">[3]FES!#REF!</definedName>
    <definedName name="__SP12">[3]FES!#REF!</definedName>
    <definedName name="__SP13" localSheetId="0">[3]FES!#REF!</definedName>
    <definedName name="__SP13">[3]FES!#REF!</definedName>
    <definedName name="__SP14" localSheetId="0">[3]FES!#REF!</definedName>
    <definedName name="__SP14">[3]FES!#REF!</definedName>
    <definedName name="__SP15" localSheetId="0">[3]FES!#REF!</definedName>
    <definedName name="__SP15">[3]FES!#REF!</definedName>
    <definedName name="__SP16" localSheetId="0">[3]FES!#REF!</definedName>
    <definedName name="__SP16">[3]FES!#REF!</definedName>
    <definedName name="__SP17" localSheetId="0">[3]FES!#REF!</definedName>
    <definedName name="__SP17">[3]FES!#REF!</definedName>
    <definedName name="__SP18" localSheetId="0">[3]FES!#REF!</definedName>
    <definedName name="__SP18">[3]FES!#REF!</definedName>
    <definedName name="__SP19" localSheetId="0">[3]FES!#REF!</definedName>
    <definedName name="__SP19">[3]FES!#REF!</definedName>
    <definedName name="__SP2" localSheetId="0">[3]FES!#REF!</definedName>
    <definedName name="__SP2">[3]FES!#REF!</definedName>
    <definedName name="__SP20" localSheetId="0">[3]FES!#REF!</definedName>
    <definedName name="__SP20">[3]FES!#REF!</definedName>
    <definedName name="__SP3" localSheetId="0">[3]FES!#REF!</definedName>
    <definedName name="__SP3">[3]FES!#REF!</definedName>
    <definedName name="__SP4" localSheetId="0">[3]FES!#REF!</definedName>
    <definedName name="__SP4">[3]FES!#REF!</definedName>
    <definedName name="__SP5" localSheetId="0">[3]FES!#REF!</definedName>
    <definedName name="__SP5">[3]FES!#REF!</definedName>
    <definedName name="__SP7" localSheetId="0">[3]FES!#REF!</definedName>
    <definedName name="__SP7">[3]FES!#REF!</definedName>
    <definedName name="__SP8" localSheetId="0">[3]FES!#REF!</definedName>
    <definedName name="__SP8">[3]FES!#REF!</definedName>
    <definedName name="__SP9" localSheetId="0">[3]FES!#REF!</definedName>
    <definedName name="__SP9">[3]FES!#REF!</definedName>
    <definedName name="_a" localSheetId="0">#REF!</definedName>
    <definedName name="_a">#REF!</definedName>
    <definedName name="_a_13" localSheetId="0">#REF!</definedName>
    <definedName name="_a_13">#REF!</definedName>
    <definedName name="_a_16" localSheetId="0">#REF!</definedName>
    <definedName name="_a_16">#REF!</definedName>
    <definedName name="_a_18" localSheetId="0">#REF!</definedName>
    <definedName name="_a_18">#REF!</definedName>
    <definedName name="_B270000" localSheetId="0">#REF!</definedName>
    <definedName name="_B270000">#REF!</definedName>
    <definedName name="_B650000" localSheetId="0">#REF!</definedName>
    <definedName name="_B650000">#REF!</definedName>
    <definedName name="_DAT1" localSheetId="0">'[5]ЦХЛ 2004'!#REF!</definedName>
    <definedName name="_DAT1">'[5]ЦХЛ 2004'!#REF!</definedName>
    <definedName name="_DAT2" localSheetId="0">'[5]ЦХЛ 2004'!#REF!</definedName>
    <definedName name="_DAT2">'[5]ЦХЛ 2004'!#REF!</definedName>
    <definedName name="_DAT3" localSheetId="0">'[5]ЦХЛ 2004'!#REF!</definedName>
    <definedName name="_DAT3">'[5]ЦХЛ 2004'!#REF!</definedName>
    <definedName name="_DAT4" localSheetId="0">'[5]ЦХЛ 2004'!#REF!</definedName>
    <definedName name="_DAT4">'[5]ЦХЛ 2004'!#REF!</definedName>
    <definedName name="_DAT5" localSheetId="0">'[5]ЦХЛ 2004'!#REF!</definedName>
    <definedName name="_DAT5">'[5]ЦХЛ 2004'!#REF!</definedName>
    <definedName name="_DAT6" localSheetId="0">#REF!</definedName>
    <definedName name="_DAT6">#REF!</definedName>
    <definedName name="_DAT7" localSheetId="0">#REF!</definedName>
    <definedName name="_DAT7">#REF!</definedName>
    <definedName name="_DAT8" localSheetId="0">#REF!</definedName>
    <definedName name="_DAT8">#REF!</definedName>
    <definedName name="_DAT9" localSheetId="0">#REF!</definedName>
    <definedName name="_DAT9">#REF!</definedName>
    <definedName name="_lp280202" localSheetId="0">#REF!</definedName>
    <definedName name="_lp280202">#REF!</definedName>
    <definedName name="_m" localSheetId="0">#REF!</definedName>
    <definedName name="_m">#REF!</definedName>
    <definedName name="_m_13" localSheetId="0">#REF!</definedName>
    <definedName name="_m_13">#REF!</definedName>
    <definedName name="_m_16" localSheetId="0">#REF!</definedName>
    <definedName name="_m_16">#REF!</definedName>
    <definedName name="_m_18" localSheetId="0">#REF!</definedName>
    <definedName name="_m_18">#REF!</definedName>
    <definedName name="_m_list">[7]Dictionaries!$B$2:$B$13</definedName>
    <definedName name="_n" localSheetId="0">#REF!</definedName>
    <definedName name="_n">#REF!</definedName>
    <definedName name="_n_13" localSheetId="0">#REF!</definedName>
    <definedName name="_n_13">#REF!</definedName>
    <definedName name="_n_16" localSheetId="0">#REF!</definedName>
    <definedName name="_n_16">#REF!</definedName>
    <definedName name="_n_18" localSheetId="0">#REF!</definedName>
    <definedName name="_n_18">#REF!</definedName>
    <definedName name="_o" localSheetId="0">#REF!</definedName>
    <definedName name="_o">#REF!</definedName>
    <definedName name="_o_13" localSheetId="0">#REF!</definedName>
    <definedName name="_o_13">#REF!</definedName>
    <definedName name="_o_16" localSheetId="0">#REF!</definedName>
    <definedName name="_o_16">#REF!</definedName>
    <definedName name="_o_18" localSheetId="0">#REF!</definedName>
    <definedName name="_o_18">#REF!</definedName>
    <definedName name="_period">[8]Содержание!$D$4</definedName>
    <definedName name="_SP1" localSheetId="0">[3]FES!#REF!</definedName>
    <definedName name="_SP1">[3]FES!#REF!</definedName>
    <definedName name="_SP10" localSheetId="0">[3]FES!#REF!</definedName>
    <definedName name="_SP10">[3]FES!#REF!</definedName>
    <definedName name="_SP11" localSheetId="0">[3]FES!#REF!</definedName>
    <definedName name="_SP11">[3]FES!#REF!</definedName>
    <definedName name="_SP12" localSheetId="0">[3]FES!#REF!</definedName>
    <definedName name="_SP12">[3]FES!#REF!</definedName>
    <definedName name="_SP13" localSheetId="0">[3]FES!#REF!</definedName>
    <definedName name="_SP13">[3]FES!#REF!</definedName>
    <definedName name="_SP14" localSheetId="0">[3]FES!#REF!</definedName>
    <definedName name="_SP14">[3]FES!#REF!</definedName>
    <definedName name="_SP15" localSheetId="0">[3]FES!#REF!</definedName>
    <definedName name="_SP15">[3]FES!#REF!</definedName>
    <definedName name="_SP16" localSheetId="0">[3]FES!#REF!</definedName>
    <definedName name="_SP16">[3]FES!#REF!</definedName>
    <definedName name="_SP17" localSheetId="0">[3]FES!#REF!</definedName>
    <definedName name="_SP17">[3]FES!#REF!</definedName>
    <definedName name="_SP18" localSheetId="0">[3]FES!#REF!</definedName>
    <definedName name="_SP18">[3]FES!#REF!</definedName>
    <definedName name="_SP19" localSheetId="0">[3]FES!#REF!</definedName>
    <definedName name="_SP19">[3]FES!#REF!</definedName>
    <definedName name="_SP2" localSheetId="0">[3]FES!#REF!</definedName>
    <definedName name="_SP2">[3]FES!#REF!</definedName>
    <definedName name="_SP20" localSheetId="0">[3]FES!#REF!</definedName>
    <definedName name="_SP20">[3]FES!#REF!</definedName>
    <definedName name="_SP3" localSheetId="0">[3]FES!#REF!</definedName>
    <definedName name="_SP3">[3]FES!#REF!</definedName>
    <definedName name="_SP4" localSheetId="0">[3]FES!#REF!</definedName>
    <definedName name="_SP4">[3]FES!#REF!</definedName>
    <definedName name="_SP5" localSheetId="0">[3]FES!#REF!</definedName>
    <definedName name="_SP5">[3]FES!#REF!</definedName>
    <definedName name="_SP7" localSheetId="0">[3]FES!#REF!</definedName>
    <definedName name="_SP7">[3]FES!#REF!</definedName>
    <definedName name="_SP8" localSheetId="0">[3]FES!#REF!</definedName>
    <definedName name="_SP8">[3]FES!#REF!</definedName>
    <definedName name="_SP9" localSheetId="0">[3]FES!#REF!</definedName>
    <definedName name="_SP9">[3]FES!#REF!</definedName>
    <definedName name="_US1" localSheetId="0">#REF!</definedName>
    <definedName name="_US1">#REF!</definedName>
    <definedName name="_year">[8]Содержание!$D$5</definedName>
    <definedName name="_xlnm._FilterDatabase" localSheetId="0" hidden="1">'дек18 (факт)'!$A$8:$BT$245</definedName>
    <definedName name="aaaa" localSheetId="0" hidden="1">{#N/A,#N/A,FALSE,"Сентябрь";#N/A,#N/A,FALSE,"Пояснительная сентябре 99"}</definedName>
    <definedName name="aaaa" hidden="1">{#N/A,#N/A,FALSE,"Сентябрь";#N/A,#N/A,FALSE,"Пояснительная сентябре 99"}</definedName>
    <definedName name="abc" localSheetId="0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ccount_Balance" localSheetId="0">#REF!</definedName>
    <definedName name="Account_Balance">#REF!</definedName>
    <definedName name="ANLAGE_III">[9]Anlagevermögen!$A$1:$Z$29</definedName>
    <definedName name="APL" localSheetId="0" hidden="1">{#N/A,#N/A,FALSE,"Aging Summary";#N/A,#N/A,FALSE,"Ratio Analysis";#N/A,#N/A,FALSE,"Test 120 Day Accts";#N/A,#N/A,FALSE,"Tickmarks"}</definedName>
    <definedName name="APL" hidden="1">{#N/A,#N/A,FALSE,"Aging Summary";#N/A,#N/A,FALSE,"Ratio Analysis";#N/A,#N/A,FALSE,"Test 120 Day Accts";#N/A,#N/A,FALSE,"Tickmarks"}</definedName>
    <definedName name="ARA_Threshold" localSheetId="0">#REF!</definedName>
    <definedName name="ARA_Threshold">#REF!</definedName>
    <definedName name="ARP_Threshold" localSheetId="0">#REF!</definedName>
    <definedName name="ARP_Threshold">#REF!</definedName>
    <definedName name="as" localSheetId="0">[10]!as</definedName>
    <definedName name="as">[10]!as</definedName>
    <definedName name="AS2DocOpenMode" hidden="1">"AS2DocumentEdit"</definedName>
    <definedName name="AS2HasNoAutoHeaderFooter" hidden="1">" "</definedName>
    <definedName name="AS2NamedRange" hidden="1">15</definedName>
    <definedName name="AS2ReportLS" hidden="1">1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f" localSheetId="0">#REF!</definedName>
    <definedName name="asdf">#REF!</definedName>
    <definedName name="assel" localSheetId="0">#REF!</definedName>
    <definedName name="assel">#REF!</definedName>
    <definedName name="aud_month" localSheetId="0">#REF!</definedName>
    <definedName name="aud_month">#REF!</definedName>
    <definedName name="aud_year" localSheetId="0">#REF!</definedName>
    <definedName name="aud_year">#REF!</definedName>
    <definedName name="B" localSheetId="0">'[11]д.7.001'!#REF!</definedName>
    <definedName name="B">'[11]д.7.001'!#REF!</definedName>
    <definedName name="B6500000" localSheetId="0">#REF!</definedName>
    <definedName name="B6500000">#REF!</definedName>
    <definedName name="Bal_Sheet" localSheetId="0">#REF!</definedName>
    <definedName name="Bal_Sheet">#REF!</definedName>
    <definedName name="Bal_Sheet1" localSheetId="0">#REF!</definedName>
    <definedName name="Bal_Sheet1">#REF!</definedName>
    <definedName name="basic_level">'[12]Threshold Table'!$A$6:$C$11</definedName>
    <definedName name="bb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bbb" localSheetId="0" hidden="1">{#N/A,#N/A,FALSE,"МТВ"}</definedName>
    <definedName name="bbbb" hidden="1">{#N/A,#N/A,FALSE,"МТВ"}</definedName>
    <definedName name="Beg_Bal" localSheetId="0">#REF!</definedName>
    <definedName name="Beg_Bal">#REF!</definedName>
    <definedName name="BG_Del" hidden="1">15</definedName>
    <definedName name="BG_Ins" hidden="1">4</definedName>
    <definedName name="BG_Mod" hidden="1">6</definedName>
    <definedName name="bpvty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cad_month" localSheetId="0">#REF!</definedName>
    <definedName name="cad_month">#REF!</definedName>
    <definedName name="cad_year" localSheetId="0">#REF!</definedName>
    <definedName name="cad_year">#REF!</definedName>
    <definedName name="Canada" localSheetId="0">#REF!</definedName>
    <definedName name="Canada">#REF!</definedName>
    <definedName name="Canada1" localSheetId="0">#REF!</definedName>
    <definedName name="Canada1">#REF!</definedName>
    <definedName name="Canadian_Occidental_Petroleum_Ltd." localSheetId="0">#REF!</definedName>
    <definedName name="Canadian_Occidental_Petroleum_Ltd.">#REF!</definedName>
    <definedName name="cd" localSheetId="0">#REF!</definedName>
    <definedName name="cd">#REF!</definedName>
    <definedName name="CF_AccruedExpenses" localSheetId="0">#REF!</definedName>
    <definedName name="CF_AccruedExpenses">#REF!</definedName>
    <definedName name="CF_Cash" localSheetId="0">#REF!</definedName>
    <definedName name="CF_Cash">#REF!</definedName>
    <definedName name="CF_CurrentLTDebit" localSheetId="0">#REF!</definedName>
    <definedName name="CF_CurrentLTDebit">#REF!</definedName>
    <definedName name="CF_DeferredTax" localSheetId="0">#REF!</definedName>
    <definedName name="CF_DeferredTax">#REF!</definedName>
    <definedName name="CF_Dividends" localSheetId="0">#REF!</definedName>
    <definedName name="CF_Dividends">#REF!</definedName>
    <definedName name="CF_Intangibles" localSheetId="0">#REF!</definedName>
    <definedName name="CF_Intangibles">#REF!</definedName>
    <definedName name="CF_Inventories" localSheetId="0">#REF!</definedName>
    <definedName name="CF_Inventories">#REF!</definedName>
    <definedName name="CF_Investments" localSheetId="0">#REF!</definedName>
    <definedName name="CF_Investments">#REF!</definedName>
    <definedName name="CF_LTDebt" localSheetId="0">#REF!</definedName>
    <definedName name="CF_LTDebt">#REF!</definedName>
    <definedName name="CF_NetIncome" localSheetId="0">#REF!</definedName>
    <definedName name="CF_NetIncome">#REF!</definedName>
    <definedName name="CF_Operations" localSheetId="0">#REF!</definedName>
    <definedName name="CF_Operations">#REF!</definedName>
    <definedName name="CF_Operations1" localSheetId="0">#REF!</definedName>
    <definedName name="CF_Operations1">#REF!</definedName>
    <definedName name="CF_Payables" localSheetId="0">#REF!</definedName>
    <definedName name="CF_Payables">#REF!</definedName>
    <definedName name="CF_PrepaidExpenses" localSheetId="0">#REF!</definedName>
    <definedName name="CF_PrepaidExpenses">#REF!</definedName>
    <definedName name="CF_Property" localSheetId="0">#REF!</definedName>
    <definedName name="CF_Property">#REF!</definedName>
    <definedName name="CF_Receivables" localSheetId="0">#REF!</definedName>
    <definedName name="CF_Receivables">#REF!</definedName>
    <definedName name="CF_Shares" localSheetId="0">#REF!</definedName>
    <definedName name="CF_Shares">#REF!</definedName>
    <definedName name="CF_Stmt" localSheetId="0">#REF!</definedName>
    <definedName name="CF_Stmt">#REF!</definedName>
    <definedName name="CF_Stmt1" localSheetId="0">#REF!</definedName>
    <definedName name="CF_Stmt1">#REF!</definedName>
    <definedName name="CF_Taxation" localSheetId="0">#REF!</definedName>
    <definedName name="CF_Taxation">#REF!</definedName>
    <definedName name="Chemicals" localSheetId="0">#REF!</definedName>
    <definedName name="Chemicals">#REF!</definedName>
    <definedName name="Chemicals1" localSheetId="0">#REF!</definedName>
    <definedName name="Chemicals1">#REF!</definedName>
    <definedName name="chf_month" localSheetId="0">#REF!</definedName>
    <definedName name="chf_month">#REF!</definedName>
    <definedName name="chf_year" localSheetId="0">#REF!</definedName>
    <definedName name="chf_year">#REF!</definedName>
    <definedName name="cig">[13]Anlagevermögen!$A$1:$Z$29</definedName>
    <definedName name="cis" localSheetId="0">#REF!</definedName>
    <definedName name="cis">#REF!</definedName>
    <definedName name="ClDate">[14]Info!$G$6</definedName>
    <definedName name="CompOt" localSheetId="0">[10]!CompOt</definedName>
    <definedName name="CompOt">[10]!CompOt</definedName>
    <definedName name="CompOt_11" localSheetId="0">'дек18 (факт)'!CompOt_11</definedName>
    <definedName name="CompOt_11">#N/A</definedName>
    <definedName name="CompOt_12" localSheetId="0">'дек18 (факт)'!CompOt_12</definedName>
    <definedName name="CompOt_12">#N/A</definedName>
    <definedName name="CompOt_13" localSheetId="0">'дек18 (факт)'!CompOt_13</definedName>
    <definedName name="CompOt_13">#N/A</definedName>
    <definedName name="CompOt_14" localSheetId="0">'дек18 (факт)'!CompOt_14</definedName>
    <definedName name="CompOt_14">#N/A</definedName>
    <definedName name="CompOt_16" localSheetId="0">'дек18 (факт)'!CompOt_16</definedName>
    <definedName name="CompOt_16">#N/A</definedName>
    <definedName name="CompOt_17" localSheetId="0">'дек18 (факт)'!CompOt_17</definedName>
    <definedName name="CompOt_17">#N/A</definedName>
    <definedName name="CompOt_18" localSheetId="0">'дек18 (факт)'!CompOt_18</definedName>
    <definedName name="CompOt_18">#N/A</definedName>
    <definedName name="CompOt_19" localSheetId="0">'дек18 (факт)'!CompOt_19</definedName>
    <definedName name="CompOt_19">#N/A</definedName>
    <definedName name="CompRas" localSheetId="0">[10]!CompRas</definedName>
    <definedName name="CompRas">[10]!CompRas</definedName>
    <definedName name="CompRas_11" localSheetId="0">'дек18 (факт)'!CompRas_11</definedName>
    <definedName name="CompRas_11">#N/A</definedName>
    <definedName name="CompRas_12" localSheetId="0">'дек18 (факт)'!CompRas_12</definedName>
    <definedName name="CompRas_12">#N/A</definedName>
    <definedName name="CompRas_13" localSheetId="0">'дек18 (факт)'!CompRas_13</definedName>
    <definedName name="CompRas_13">#N/A</definedName>
    <definedName name="CompRas_14" localSheetId="0">'дек18 (факт)'!CompRas_14</definedName>
    <definedName name="CompRas_14">#N/A</definedName>
    <definedName name="CompRas_16" localSheetId="0">'дек18 (факт)'!CompRas_16</definedName>
    <definedName name="CompRas_16">#N/A</definedName>
    <definedName name="CompRas_17" localSheetId="0">'дек18 (факт)'!CompRas_17</definedName>
    <definedName name="CompRas_17">#N/A</definedName>
    <definedName name="CompRas_18" localSheetId="0">'дек18 (факт)'!CompRas_18</definedName>
    <definedName name="CompRas_18">#N/A</definedName>
    <definedName name="CompRas_19" localSheetId="0">'дек18 (факт)'!CompRas_19</definedName>
    <definedName name="CompRas_19">#N/A</definedName>
    <definedName name="compras1" localSheetId="0">[10]!compras1</definedName>
    <definedName name="compras1">[10]!compras1</definedName>
    <definedName name="country">[15]misc!$B$1</definedName>
    <definedName name="crude" localSheetId="0">#REF!</definedName>
    <definedName name="crude">#REF!</definedName>
    <definedName name="csnab" localSheetId="0">#REF!</definedName>
    <definedName name="csnab">#REF!</definedName>
    <definedName name="ct" localSheetId="0">#REF!</definedName>
    <definedName name="ct">#REF!</definedName>
    <definedName name="currency">[15]misc!$B$2</definedName>
    <definedName name="cv" localSheetId="0">#REF!</definedName>
    <definedName name="cv">#REF!</definedName>
    <definedName name="cvo" localSheetId="0">#REF!</definedName>
    <definedName name="cvo">#REF!</definedName>
    <definedName name="CY_Accounts_Receivable" localSheetId="0">#REF!</definedName>
    <definedName name="CY_Accounts_Receivable">#REF!</definedName>
    <definedName name="CY_Cash" localSheetId="0">#REF!</definedName>
    <definedName name="CY_Cash">#REF!</definedName>
    <definedName name="CY_Common_Equity" localSheetId="0">#REF!</definedName>
    <definedName name="CY_Common_Equity">#REF!</definedName>
    <definedName name="CY_Cost_of_Sales" localSheetId="0">#REF!</definedName>
    <definedName name="CY_Cost_of_Sales">#REF!</definedName>
    <definedName name="CY_Current_Liabilities" localSheetId="0">#REF!</definedName>
    <definedName name="CY_Current_Liabilities">#REF!</definedName>
    <definedName name="CY_Depreciation" localSheetId="0">#REF!</definedName>
    <definedName name="CY_Depreciation">#REF!</definedName>
    <definedName name="CY_Gross_Profit" localSheetId="0">#REF!</definedName>
    <definedName name="CY_Gross_Profit">#REF!</definedName>
    <definedName name="CY_Inc_Bef_Tax" localSheetId="0">#REF!</definedName>
    <definedName name="CY_Inc_Bef_Tax">#REF!</definedName>
    <definedName name="CY_Intangible_Assets" localSheetId="0">#REF!</definedName>
    <definedName name="CY_Intangible_Assets">#REF!</definedName>
    <definedName name="CY_Interest_Expense" localSheetId="0">#REF!</definedName>
    <definedName name="CY_Interest_Expense">#REF!</definedName>
    <definedName name="CY_Inventory" localSheetId="0">#REF!</definedName>
    <definedName name="CY_Inventory">#REF!</definedName>
    <definedName name="CY_LIABIL_EQUITY" localSheetId="0">#REF!</definedName>
    <definedName name="CY_LIABIL_EQUITY">#REF!</definedName>
    <definedName name="CY_LT_Debt" localSheetId="0">#REF!</definedName>
    <definedName name="CY_LT_Debt">#REF!</definedName>
    <definedName name="CY_Market_Value_of_Equity" localSheetId="0">#REF!</definedName>
    <definedName name="CY_Market_Value_of_Equity">#REF!</definedName>
    <definedName name="CY_Marketable_Sec" localSheetId="0">#REF!</definedName>
    <definedName name="CY_Marketable_Sec">#REF!</definedName>
    <definedName name="CY_NET_PROFIT" localSheetId="0">#REF!</definedName>
    <definedName name="CY_NET_PROFIT">#REF!</definedName>
    <definedName name="CY_Net_Revenue" localSheetId="0">#REF!</definedName>
    <definedName name="CY_Net_Revenue">#REF!</definedName>
    <definedName name="CY_Operating_Income" localSheetId="0">#REF!</definedName>
    <definedName name="CY_Operating_Income">#REF!</definedName>
    <definedName name="CY_Other_Curr_Assets" localSheetId="0">#REF!</definedName>
    <definedName name="CY_Other_Curr_Assets">#REF!</definedName>
    <definedName name="CY_Other_LT_Assets" localSheetId="0">#REF!</definedName>
    <definedName name="CY_Other_LT_Assets">#REF!</definedName>
    <definedName name="CY_Other_LT_Liabilities" localSheetId="0">#REF!</definedName>
    <definedName name="CY_Other_LT_Liabilities">#REF!</definedName>
    <definedName name="CY_Preferred_Stock" localSheetId="0">#REF!</definedName>
    <definedName name="CY_Preferred_Stock">#REF!</definedName>
    <definedName name="CY_QUICK_ASSETS" localSheetId="0">#REF!</definedName>
    <definedName name="CY_QUICK_ASSETS">#REF!</definedName>
    <definedName name="CY_Retained_Earnings" localSheetId="0">#REF!</definedName>
    <definedName name="CY_Retained_Earnings">#REF!</definedName>
    <definedName name="CY_Tangible_Assets" localSheetId="0">#REF!</definedName>
    <definedName name="CY_Tangible_Assets">#REF!</definedName>
    <definedName name="CY_Tangible_Net_Worth" localSheetId="0">#REF!</definedName>
    <definedName name="CY_Tangible_Net_Worth">#REF!</definedName>
    <definedName name="CY_Taxes" localSheetId="0">#REF!</definedName>
    <definedName name="CY_Taxes">#REF!</definedName>
    <definedName name="CY_TOTAL_ASSETS" localSheetId="0">#REF!</definedName>
    <definedName name="CY_TOTAL_ASSETS">#REF!</definedName>
    <definedName name="CY_TOTAL_CURR_ASSETS" localSheetId="0">#REF!</definedName>
    <definedName name="CY_TOTAL_CURR_ASSETS">#REF!</definedName>
    <definedName name="CY_TOTAL_DEBT" localSheetId="0">#REF!</definedName>
    <definedName name="CY_TOTAL_DEBT">#REF!</definedName>
    <definedName name="CY_TOTAL_EQUITY" localSheetId="0">#REF!</definedName>
    <definedName name="CY_TOTAL_EQUITY">#REF!</definedName>
    <definedName name="CY_Working_Capital" localSheetId="0">#REF!</definedName>
    <definedName name="CY_Working_Capital">#REF!</definedName>
    <definedName name="cyp">'[16]FS-97'!$BA$90</definedName>
    <definedName name="czhs" localSheetId="0">#REF!</definedName>
    <definedName name="czhs">#REF!</definedName>
    <definedName name="Data" localSheetId="0">#REF!</definedName>
    <definedName name="Data">#REF!</definedName>
    <definedName name="ddd" localSheetId="0">[10]!ddd</definedName>
    <definedName name="ddd">[10]!ddd</definedName>
    <definedName name="dem_month" localSheetId="0">#REF!</definedName>
    <definedName name="dem_month">#REF!</definedName>
    <definedName name="dem_year" localSheetId="0">#REF!</definedName>
    <definedName name="dem_year">#REF!</definedName>
    <definedName name="det" localSheetId="0">[10]!det</definedName>
    <definedName name="det">[10]!det</definedName>
    <definedName name="dfg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ifference" localSheetId="0">#REF!</definedName>
    <definedName name="Difference">#REF!</definedName>
    <definedName name="Disaggregations" localSheetId="0">#REF!</definedName>
    <definedName name="Disaggregations">#REF!</definedName>
    <definedName name="Dollar_BS" localSheetId="0">#REF!</definedName>
    <definedName name="Dollar_BS">#REF!</definedName>
    <definedName name="Dollar_Cash" localSheetId="0">#REF!</definedName>
    <definedName name="Dollar_Cash">#REF!</definedName>
    <definedName name="Dollar_IS" localSheetId="0">#REF!</definedName>
    <definedName name="Dollar_IS">#REF!</definedName>
    <definedName name="Dollar_non_cash_wk" localSheetId="0">#REF!</definedName>
    <definedName name="Dollar_non_cash_wk">#REF!</definedName>
    <definedName name="Drilling" localSheetId="0">#REF!</definedName>
    <definedName name="Drilling">#REF!</definedName>
    <definedName name="Drilling1" localSheetId="0">#REF!</definedName>
    <definedName name="Drilling1">#REF!</definedName>
    <definedName name="End_Bal" localSheetId="0">#REF!</definedName>
    <definedName name="End_Bal">#REF!</definedName>
    <definedName name="Error">[17]Anlagevermögen!$A$1:$Z$29</definedName>
    <definedName name="ert" localSheetId="0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t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uro_month" localSheetId="0">#REF!</definedName>
    <definedName name="euro_month">#REF!</definedName>
    <definedName name="euro_year" localSheetId="0">#REF!</definedName>
    <definedName name="euro_year">#REF!</definedName>
    <definedName name="ew" localSheetId="0">[10]!ew</definedName>
    <definedName name="ew">[10]!ew</definedName>
    <definedName name="ew_11" localSheetId="0">'дек18 (факт)'!ew_11</definedName>
    <definedName name="ew_11">#N/A</definedName>
    <definedName name="ew_12" localSheetId="0">'дек18 (факт)'!ew_12</definedName>
    <definedName name="ew_12">#N/A</definedName>
    <definedName name="ew_13" localSheetId="0">'дек18 (факт)'!ew_13</definedName>
    <definedName name="ew_13">#N/A</definedName>
    <definedName name="ew_14" localSheetId="0">'дек18 (факт)'!ew_14</definedName>
    <definedName name="ew_14">#N/A</definedName>
    <definedName name="ew_16" localSheetId="0">'дек18 (факт)'!ew_16</definedName>
    <definedName name="ew_16">#N/A</definedName>
    <definedName name="ew_17" localSheetId="0">'дек18 (факт)'!ew_17</definedName>
    <definedName name="ew_17">#N/A</definedName>
    <definedName name="ew_18" localSheetId="0">'дек18 (факт)'!ew_18</definedName>
    <definedName name="ew_18">#N/A</definedName>
    <definedName name="ew_19" localSheetId="0">'дек18 (факт)'!ew_19</definedName>
    <definedName name="ew_19">#N/A</definedName>
    <definedName name="Excel_BuiltIn_Print_Area_2" localSheetId="0">#REF!</definedName>
    <definedName name="Excel_BuiltIn_Print_Area_2">#REF!</definedName>
    <definedName name="Excel_BuiltIn_Print_Area_4" localSheetId="0">#REF!</definedName>
    <definedName name="Excel_BuiltIn_Print_Area_4">#REF!</definedName>
    <definedName name="Excel_BuiltIn_Print_Area_5" localSheetId="0">#REF!</definedName>
    <definedName name="Excel_BuiltIn_Print_Area_5">#REF!</definedName>
    <definedName name="Excel_BuiltIn_Print_Area_6" localSheetId="0">#REF!</definedName>
    <definedName name="Excel_BuiltIn_Print_Area_6">#REF!</definedName>
    <definedName name="Excel_BuiltIn_Print_Area_7" localSheetId="0">#REF!</definedName>
    <definedName name="Excel_BuiltIn_Print_Area_7">#REF!</definedName>
    <definedName name="Expected_balance" localSheetId="0">#REF!</definedName>
    <definedName name="Expected_balance">#REF!</definedName>
    <definedName name="extn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xtra_Pay" localSheetId="0">#REF!</definedName>
    <definedName name="Extra_Pay">#REF!</definedName>
    <definedName name="F" localSheetId="0">[10]!F</definedName>
    <definedName name="F">[10]!F</definedName>
    <definedName name="fd" localSheetId="0">#REF!</definedName>
    <definedName name="fd">#REF!</definedName>
    <definedName name="fdjfd" localSheetId="0">#REF!</definedName>
    <definedName name="fdjfd">#REF!</definedName>
    <definedName name="fdjlsj" localSheetId="0">#REF!</definedName>
    <definedName name="fdjlsj">#REF!</definedName>
    <definedName name="Feb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g" localSheetId="0">[10]!fg</definedName>
    <definedName name="fg">[10]!fg</definedName>
    <definedName name="fg_11" localSheetId="0">'дек18 (факт)'!fg_11</definedName>
    <definedName name="fg_11">#N/A</definedName>
    <definedName name="fg_12" localSheetId="0">'дек18 (факт)'!fg_12</definedName>
    <definedName name="fg_12">#N/A</definedName>
    <definedName name="fg_13" localSheetId="0">'дек18 (факт)'!fg_13</definedName>
    <definedName name="fg_13">#N/A</definedName>
    <definedName name="fg_14" localSheetId="0">'дек18 (факт)'!fg_14</definedName>
    <definedName name="fg_14">#N/A</definedName>
    <definedName name="fg_16" localSheetId="0">'дек18 (факт)'!fg_16</definedName>
    <definedName name="fg_16">#N/A</definedName>
    <definedName name="fg_17" localSheetId="0">'дек18 (факт)'!fg_17</definedName>
    <definedName name="fg_17">#N/A</definedName>
    <definedName name="fg_18" localSheetId="0">'дек18 (факт)'!fg_18</definedName>
    <definedName name="fg_18">#N/A</definedName>
    <definedName name="fg_19" localSheetId="0">'дек18 (факт)'!fg_19</definedName>
    <definedName name="fg_19">#N/A</definedName>
    <definedName name="fjsf" localSheetId="0">#REF!</definedName>
    <definedName name="fjsf">#REF!</definedName>
    <definedName name="Full_Print" localSheetId="0">#REF!</definedName>
    <definedName name="Full_Print">#REF!</definedName>
    <definedName name="fytf" localSheetId="0">#REF!</definedName>
    <definedName name="fytf">#REF!</definedName>
    <definedName name="gaap_GRID" localSheetId="0">#REF!</definedName>
    <definedName name="gaap_GRID">#REF!</definedName>
    <definedName name="gbr_month" localSheetId="0">#REF!</definedName>
    <definedName name="gbr_month">#REF!</definedName>
    <definedName name="gbr_year" localSheetId="0">#REF!</definedName>
    <definedName name="gbr_year">#REF!</definedName>
    <definedName name="ghis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rid_Assets" localSheetId="0">#REF!</definedName>
    <definedName name="Grid_Assets">#REF!</definedName>
    <definedName name="Grid_bs" localSheetId="0">#REF!</definedName>
    <definedName name="Grid_bs">#REF!</definedName>
    <definedName name="Grid_is" localSheetId="0">#REF!</definedName>
    <definedName name="Grid_is">#REF!</definedName>
    <definedName name="h" localSheetId="0" hidden="1">{#N/A,#N/A,FALSE,"МТВ"}</definedName>
    <definedName name="h" hidden="1">{#N/A,#N/A,FALSE,"МТВ"}</definedName>
    <definedName name="half" localSheetId="0">#REF!</definedName>
    <definedName name="half">#REF!</definedName>
    <definedName name="Header_Row" localSheetId="0">ROW(#REF!)</definedName>
    <definedName name="Header_Row">ROW(#REF!)</definedName>
    <definedName name="HELP" localSheetId="0">#REF!</definedName>
    <definedName name="HELP">#REF!</definedName>
    <definedName name="hfcxtn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localSheetId="0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gf" localSheetId="0">#REF!</definedName>
    <definedName name="hgf">#REF!</definedName>
    <definedName name="hjjh" localSheetId="0" hidden="1">{#N/A,#N/A,TRUE,"Лист1";#N/A,#N/A,TRUE,"Лист2";#N/A,#N/A,TRUE,"Лист3"}</definedName>
    <definedName name="hjjh" hidden="1">{#N/A,#N/A,TRUE,"Лист1";#N/A,#N/A,TRUE,"Лист2";#N/A,#N/A,TRUE,"Лист3"}</definedName>
    <definedName name="hozu" localSheetId="0">#REF!</definedName>
    <definedName name="hozu">#REF!</definedName>
    <definedName name="Inc_Stmt" localSheetId="0">#REF!</definedName>
    <definedName name="Inc_Stmt">#REF!</definedName>
    <definedName name="Inc_Stmt1" localSheetId="0">#REF!</definedName>
    <definedName name="Inc_Stmt1">#REF!</definedName>
    <definedName name="Int" localSheetId="0">#REF!</definedName>
    <definedName name="Int">#REF!</definedName>
    <definedName name="Interest_Rate" localSheetId="0">#REF!</definedName>
    <definedName name="Interest_Rate">#REF!</definedName>
    <definedName name="interm_level">'[12]Threshold Table'!$D$6:$F$11</definedName>
    <definedName name="Irina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jjjg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jjj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" localSheetId="0">[10]!k</definedName>
    <definedName name="k">[10]!k</definedName>
    <definedName name="k_11" localSheetId="0">'дек18 (факт)'!k_11</definedName>
    <definedName name="k_11">#N/A</definedName>
    <definedName name="k_12" localSheetId="0">'дек18 (факт)'!k_12</definedName>
    <definedName name="k_12">#N/A</definedName>
    <definedName name="k_13" localSheetId="0">'дек18 (факт)'!k_13</definedName>
    <definedName name="k_13">#N/A</definedName>
    <definedName name="k_14" localSheetId="0">'дек18 (факт)'!k_14</definedName>
    <definedName name="k_14">#N/A</definedName>
    <definedName name="k_16" localSheetId="0">'дек18 (факт)'!k_16</definedName>
    <definedName name="k_16">#N/A</definedName>
    <definedName name="k_17" localSheetId="0">'дек18 (факт)'!k_17</definedName>
    <definedName name="k_17">#N/A</definedName>
    <definedName name="k_18" localSheetId="0">'дек18 (факт)'!k_18</definedName>
    <definedName name="k_18">#N/A</definedName>
    <definedName name="k_19" localSheetId="0">'дек18 (факт)'!k_19</definedName>
    <definedName name="k_19">#N/A</definedName>
    <definedName name="kto">[18]Форма2!$C$19:$C$24,[18]Форма2!$E$19:$F$24,[18]Форма2!$D$26:$F$31,[18]Форма2!$C$33:$C$38,[18]Форма2!$E$33:$F$38,[18]Форма2!$D$40:$F$43,[18]Форма2!$C$45:$C$48,[18]Форма2!$E$45:$F$48,[18]Форма2!$C$19</definedName>
    <definedName name="Kumkol" localSheetId="0" hidden="1">{#N/A,#N/A,FALSE,"Сентябрь";#N/A,#N/A,FALSE,"Пояснительная сентябре 99"}</definedName>
    <definedName name="Kumkol" hidden="1">{#N/A,#N/A,FALSE,"Сентябрь";#N/A,#N/A,FALSE,"Пояснительная сентябре 99"}</definedName>
    <definedName name="KZT_BS" localSheetId="0">#REF!</definedName>
    <definedName name="KZT_BS">#REF!</definedName>
    <definedName name="KZT_cash" localSheetId="0">#REF!</definedName>
    <definedName name="KZT_cash">#REF!</definedName>
    <definedName name="KZT_IS" localSheetId="0">#REF!</definedName>
    <definedName name="KZT_IS">#REF!</definedName>
    <definedName name="KZT_non_cash_wk" localSheetId="0">#REF!</definedName>
    <definedName name="KZT_non_cash_wk">#REF!</definedName>
    <definedName name="L_Adjust">[19]Links!$H$1:$H$65536</definedName>
    <definedName name="L_AJE_Tot">[19]Links!$G$1:$G$65536</definedName>
    <definedName name="L_CY_Beg">[19]Links!$F$1:$F$65536</definedName>
    <definedName name="L_CY_End">[19]Links!$J$1:$J$65536</definedName>
    <definedName name="L_PY_End">[19]Links!$K$1:$K$65536</definedName>
    <definedName name="L_RJE_Tot">[19]Links!$I$1:$I$65536</definedName>
    <definedName name="Last_Row" localSheetId="0">IF('дек18 (факт)'!Values_Entered,'дек18 (факт)'!Header_Row+'дек18 (факт)'!Number_of_Payments,'дек18 (факт)'!Header_Row)</definedName>
    <definedName name="Last_Row">#N/A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LP" localSheetId="0">#REF!</definedName>
    <definedName name="LP">#REF!</definedName>
    <definedName name="lvnc" localSheetId="0">#REF!</definedName>
    <definedName name="lvnc">#REF!</definedName>
    <definedName name="m">[13]Anlagevermögen!$A$1:$Z$29</definedName>
    <definedName name="m_2005">'[20]1NK'!$R$10:$R$1877</definedName>
    <definedName name="m_2006">'[20]1NK'!$S$10:$S$1838</definedName>
    <definedName name="m_2007">'[20]1NK'!$T$10:$T$1838</definedName>
    <definedName name="m_dep_I" localSheetId="0">#REF!</definedName>
    <definedName name="m_dep_I">#REF!</definedName>
    <definedName name="m_dep_I_13" localSheetId="0">#REF!</definedName>
    <definedName name="m_dep_I_13">#REF!</definedName>
    <definedName name="m_dep_I_16" localSheetId="0">#REF!</definedName>
    <definedName name="m_dep_I_16">#REF!</definedName>
    <definedName name="m_dep_I_17" localSheetId="0">#REF!</definedName>
    <definedName name="m_dep_I_17">#REF!</definedName>
    <definedName name="m_dep_I_18" localSheetId="0">#REF!</definedName>
    <definedName name="m_dep_I_18">#REF!</definedName>
    <definedName name="m_dep_I1" localSheetId="0">#REF!</definedName>
    <definedName name="m_dep_I1">#REF!</definedName>
    <definedName name="m_dep_I1_13" localSheetId="0">#REF!</definedName>
    <definedName name="m_dep_I1_13">#REF!</definedName>
    <definedName name="m_dep_I1_16" localSheetId="0">#REF!</definedName>
    <definedName name="m_dep_I1_16">#REF!</definedName>
    <definedName name="m_dep_I1_17" localSheetId="0">#REF!</definedName>
    <definedName name="m_dep_I1_17">#REF!</definedName>
    <definedName name="m_dep_I1_18" localSheetId="0">#REF!</definedName>
    <definedName name="m_dep_I1_18">#REF!</definedName>
    <definedName name="m_dep_N" localSheetId="0">#REF!</definedName>
    <definedName name="m_dep_N">#REF!</definedName>
    <definedName name="m_dep_N_13" localSheetId="0">#REF!</definedName>
    <definedName name="m_dep_N_13">#REF!</definedName>
    <definedName name="m_dep_N_16" localSheetId="0">#REF!</definedName>
    <definedName name="m_dep_N_16">#REF!</definedName>
    <definedName name="m_dep_N_17" localSheetId="0">#REF!</definedName>
    <definedName name="m_dep_N_17">#REF!</definedName>
    <definedName name="m_dep_N_18" localSheetId="0">#REF!</definedName>
    <definedName name="m_dep_N_18">#REF!</definedName>
    <definedName name="m_f2002" localSheetId="0">#REF!</definedName>
    <definedName name="m_f2002">#REF!</definedName>
    <definedName name="m_Key2" localSheetId="0">#REF!</definedName>
    <definedName name="m_Key2">#REF!</definedName>
    <definedName name="m_o2003" localSheetId="0">#REF!</definedName>
    <definedName name="m_o2003">#REF!</definedName>
    <definedName name="m_OTM2005">'[21]2.2 ОтклОТМ'!$G$1:$G$65536</definedName>
    <definedName name="m_OTM2006">'[21]2.2 ОтклОТМ'!$J$1:$J$65536</definedName>
    <definedName name="m_OTM2007">'[21]2.2 ОтклОТМ'!$M$1:$M$65536</definedName>
    <definedName name="m_OTM2008">'[21]2.2 ОтклОТМ'!$P$1:$P$65536</definedName>
    <definedName name="m_OTM2009">'[21]2.2 ОтклОТМ'!$S$1:$S$65536</definedName>
    <definedName name="m_OTM2010">'[21]2.2 ОтклОТМ'!$V$1:$V$65536</definedName>
    <definedName name="m_OTMizm">'[21]1.3.2 ОТМ'!$K$1:$K$65536</definedName>
    <definedName name="m_OTMkod">'[21]1.3.2 ОТМ'!$A$1:$A$65536</definedName>
    <definedName name="m_OTMnomer">'[21]1.3.2 ОТМ'!$H$1:$H$65536</definedName>
    <definedName name="m_OTMpokaz">'[21]1.3.2 ОТМ'!$I$1:$I$65536</definedName>
    <definedName name="m_p2003" localSheetId="0">#REF!</definedName>
    <definedName name="m_p2003">#REF!</definedName>
    <definedName name="m_Predpr_I">[21]Предпр!$C$3:$C$29</definedName>
    <definedName name="m_Predpr_I_13" localSheetId="0">#REF!</definedName>
    <definedName name="m_Predpr_I_13">#REF!</definedName>
    <definedName name="m_Predpr_I_16" localSheetId="0">#REF!</definedName>
    <definedName name="m_Predpr_I_16">#REF!</definedName>
    <definedName name="m_Predpr_I_18" localSheetId="0">#REF!</definedName>
    <definedName name="m_Predpr_I_18">#REF!</definedName>
    <definedName name="m_Predpr_N">[21]Предпр!$D$3:$D$29</definedName>
    <definedName name="m_Predpr_N_13" localSheetId="0">#REF!</definedName>
    <definedName name="m_Predpr_N_13">#REF!</definedName>
    <definedName name="m_Predpr_N_16" localSheetId="0">#REF!</definedName>
    <definedName name="m_Predpr_N_16">#REF!</definedName>
    <definedName name="m_Predpr_N_18" localSheetId="0">#REF!</definedName>
    <definedName name="m_Predpr_N_18">#REF!</definedName>
    <definedName name="m_Zatrat">[21]ЦентрЗатр!$A$2:$G$71</definedName>
    <definedName name="m_Zatrat_13">[22]ЦентрЗатр!$A$2:$G$71</definedName>
    <definedName name="m_Zatrat_16">[22]ЦентрЗатр!$A$2:$G$71</definedName>
    <definedName name="m_Zatrat_18">[22]ЦентрЗатр!$A$2:$G$71</definedName>
    <definedName name="m_Zatrat_Ed">[21]ЦентрЗатр!$E$2:$E$71</definedName>
    <definedName name="m_Zatrat_Ed_13">[23]ЦентрЗатр!$E$2:$E$71</definedName>
    <definedName name="m_Zatrat_Ed_16">[23]ЦентрЗатр!$E$2:$E$71</definedName>
    <definedName name="m_Zatrat_Ed_18">[23]ЦентрЗатр!$E$2:$E$71</definedName>
    <definedName name="m_Zatrat_K">[21]ЦентрЗатр!$F$2:$F$71</definedName>
    <definedName name="m_Zatrat_K_13">[23]ЦентрЗатр!$F$2:$F$71</definedName>
    <definedName name="m_Zatrat_K_16">[23]ЦентрЗатр!$F$2:$F$71</definedName>
    <definedName name="m_Zatrat_K_18">[23]ЦентрЗатр!$F$2:$F$71</definedName>
    <definedName name="m_Zatrat_N">[21]ЦентрЗатр!$G$2:$G$71</definedName>
    <definedName name="m_Zatrat_N_13">[22]ЦентрЗатр!$G$2:$G$71</definedName>
    <definedName name="m_Zatrat_N_16">[22]ЦентрЗатр!$G$2:$G$71</definedName>
    <definedName name="m_Zatrat_N_18">[22]ЦентрЗатр!$G$2:$G$71</definedName>
    <definedName name="main">'[24]Список документов'!$A$1</definedName>
    <definedName name="mas_1" localSheetId="0">#REF!</definedName>
    <definedName name="mas_1">#REF!</definedName>
    <definedName name="mas_1_13" localSheetId="0">#REF!</definedName>
    <definedName name="mas_1_13">#REF!</definedName>
    <definedName name="mas_1_16" localSheetId="0">#REF!</definedName>
    <definedName name="mas_1_16">#REF!</definedName>
    <definedName name="mas_1_17" localSheetId="0">#REF!</definedName>
    <definedName name="mas_1_17">#REF!</definedName>
    <definedName name="mas_1_18" localSheetId="0">#REF!</definedName>
    <definedName name="mas_1_18">#REF!</definedName>
    <definedName name="mas_2" localSheetId="0">#REF!</definedName>
    <definedName name="mas_2">#REF!</definedName>
    <definedName name="mas_2_13" localSheetId="0">#REF!</definedName>
    <definedName name="mas_2_13">#REF!</definedName>
    <definedName name="mas_2_16" localSheetId="0">#REF!</definedName>
    <definedName name="mas_2_16">#REF!</definedName>
    <definedName name="mas_2_17" localSheetId="0">#REF!</definedName>
    <definedName name="mas_2_17">#REF!</definedName>
    <definedName name="mas_2_18" localSheetId="0">#REF!</definedName>
    <definedName name="mas_2_18">#REF!</definedName>
    <definedName name="mas_2_new" localSheetId="0">#REF!</definedName>
    <definedName name="mas_2_new">#REF!</definedName>
    <definedName name="mas_2_new_13" localSheetId="0">#REF!</definedName>
    <definedName name="mas_2_new_13">#REF!</definedName>
    <definedName name="mas_2_new_16" localSheetId="0">#REF!</definedName>
    <definedName name="mas_2_new_16">#REF!</definedName>
    <definedName name="mas_2_new_17" localSheetId="0">#REF!</definedName>
    <definedName name="mas_2_new_17">#REF!</definedName>
    <definedName name="mas_2_new_18" localSheetId="0">#REF!</definedName>
    <definedName name="mas_2_new_18">#REF!</definedName>
    <definedName name="mas_3" localSheetId="0">#REF!</definedName>
    <definedName name="mas_3">#REF!</definedName>
    <definedName name="mas_3_13" localSheetId="0">#REF!</definedName>
    <definedName name="mas_3_13">#REF!</definedName>
    <definedName name="mas_3_16" localSheetId="0">#REF!</definedName>
    <definedName name="mas_3_16">#REF!</definedName>
    <definedName name="mas_3_17" localSheetId="0">#REF!</definedName>
    <definedName name="mas_3_17">#REF!</definedName>
    <definedName name="mas_3_18" localSheetId="0">#REF!</definedName>
    <definedName name="mas_3_18">#REF!</definedName>
    <definedName name="mas_4" localSheetId="0">#REF!</definedName>
    <definedName name="mas_4">#REF!</definedName>
    <definedName name="mas_4_13" localSheetId="0">#REF!</definedName>
    <definedName name="mas_4_13">#REF!</definedName>
    <definedName name="mas_4_16" localSheetId="0">#REF!</definedName>
    <definedName name="mas_4_16">#REF!</definedName>
    <definedName name="mas_4_17" localSheetId="0">#REF!</definedName>
    <definedName name="mas_4_17">#REF!</definedName>
    <definedName name="mas_4_18" localSheetId="0">#REF!</definedName>
    <definedName name="mas_4_18">#REF!</definedName>
    <definedName name="mas_new" localSheetId="0">#REF!</definedName>
    <definedName name="mas_new">#REF!</definedName>
    <definedName name="mas_new_13" localSheetId="0">#REF!</definedName>
    <definedName name="mas_new_13">#REF!</definedName>
    <definedName name="mas_new_16" localSheetId="0">#REF!</definedName>
    <definedName name="mas_new_16">#REF!</definedName>
    <definedName name="mas_new_17" localSheetId="0">#REF!</definedName>
    <definedName name="mas_new_17">#REF!</definedName>
    <definedName name="mas_new_18" localSheetId="0">#REF!</definedName>
    <definedName name="mas_new_18">#REF!</definedName>
    <definedName name="mas_old" localSheetId="0">#REF!</definedName>
    <definedName name="mas_old">#REF!</definedName>
    <definedName name="mas_spisok" localSheetId="0">#REF!</definedName>
    <definedName name="mas_spisok">#REF!</definedName>
    <definedName name="mas_spisok_13" localSheetId="0">#REF!</definedName>
    <definedName name="mas_spisok_13">#REF!</definedName>
    <definedName name="mas_spisok_16" localSheetId="0">#REF!</definedName>
    <definedName name="mas_spisok_16">#REF!</definedName>
    <definedName name="mas_spisok_18" localSheetId="0">#REF!</definedName>
    <definedName name="mas_spisok_18">#REF!</definedName>
    <definedName name="Monetary_Precision" localSheetId="0">#REF!</definedName>
    <definedName name="Monetary_Precision">#REF!</definedName>
    <definedName name="month" localSheetId="0">#REF!</definedName>
    <definedName name="month">#REF!</definedName>
    <definedName name="net" localSheetId="0">#REF!</definedName>
    <definedName name="net">#REF!</definedName>
    <definedName name="new">'[25]$ IS'!$A$1:$BH$34</definedName>
    <definedName name="New_a_c" localSheetId="0">#REF!</definedName>
    <definedName name="New_a_c">#REF!</definedName>
    <definedName name="Njkf" localSheetId="0">[10]!Njkf</definedName>
    <definedName name="Njkf">[10]!Njkf</definedName>
    <definedName name="Num_Pmt_Per_Year" localSheetId="0">#REF!</definedName>
    <definedName name="Num_Pmt_Per_Year">#REF!</definedName>
    <definedName name="Number_of_Payments" localSheetId="0">MATCH(0.01,'дек18 (факт)'!End_Bal,-1)+1</definedName>
    <definedName name="Number_of_Payments">MATCH(0.01,End_Bal,-1)+1</definedName>
    <definedName name="oi" localSheetId="0">#REF!</definedName>
    <definedName name="oi">#REF!</definedName>
    <definedName name="one" localSheetId="0">#REF!,#REF!</definedName>
    <definedName name="one">#REF!,#REF!</definedName>
    <definedName name="ooo" localSheetId="0">'[26]GAAP TB 30.09.01  detail p&amp;l'!#REF!</definedName>
    <definedName name="ooo">'[26]GAAP TB 30.09.01  detail p&amp;l'!#REF!</definedName>
    <definedName name="OpDate">[14]Info!$G$5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 localSheetId="0">DATE(YEAR('дек18 (факт)'!Loan_Start),MONTH('дек18 (факт)'!Loan_Start)+Payment_Number,DAY('дек18 (факт)'!Loan_Start))</definedName>
    <definedName name="Payment_Date">DATE(YEAR(Loan_Start),MONTH(Loan_Start)+Payment_Number,DAY(Loan_Start))</definedName>
    <definedName name="pc" localSheetId="0">#REF!</definedName>
    <definedName name="pc">#REF!</definedName>
    <definedName name="Pivot_division" localSheetId="0">#REF!</definedName>
    <definedName name="Pivot_division">#REF!</definedName>
    <definedName name="Pivot_HO" localSheetId="0">#REF!</definedName>
    <definedName name="Pivot_HO">#REF!</definedName>
    <definedName name="po" localSheetId="0">#REF!</definedName>
    <definedName name="po">#REF!</definedName>
    <definedName name="pr">[27]Anlagevermögen!$A$1:$Z$29</definedName>
    <definedName name="Princ" localSheetId="0">#REF!</definedName>
    <definedName name="Princ">#REF!</definedName>
    <definedName name="Print_Area_Reset" localSheetId="0">OFFSET('дек18 (факт)'!Full_Print,0,0,'дек18 (факт)'!Last_Row)</definedName>
    <definedName name="Print_Area_Reset">OFFSET(Full_Print,0,0,Last_Row)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intk" localSheetId="0">#REF!</definedName>
    <definedName name="printk">#REF!</definedName>
    <definedName name="Prob_ResRec" localSheetId="0">#REF!</definedName>
    <definedName name="Prob_ResRec">#REF!</definedName>
    <definedName name="Prob_ResRec1" localSheetId="0">#REF!</definedName>
    <definedName name="Prob_ResRec1">#REF!</definedName>
    <definedName name="Proved_ResRec" localSheetId="0">#REF!</definedName>
    <definedName name="Proved_ResRec">#REF!</definedName>
    <definedName name="Proved_ResRec1" localSheetId="0">#REF!</definedName>
    <definedName name="Proved_ResRec1">#REF!</definedName>
    <definedName name="PY_Accounts_Receivable" localSheetId="0">#REF!</definedName>
    <definedName name="PY_Accounts_Receivable">#REF!</definedName>
    <definedName name="PY_Cash" localSheetId="0">#REF!</definedName>
    <definedName name="PY_Cash">#REF!</definedName>
    <definedName name="PY_Common_Equity" localSheetId="0">#REF!</definedName>
    <definedName name="PY_Common_Equity">#REF!</definedName>
    <definedName name="PY_Cost_of_Sales" localSheetId="0">#REF!</definedName>
    <definedName name="PY_Cost_of_Sales">#REF!</definedName>
    <definedName name="PY_Current_Liabilities" localSheetId="0">#REF!</definedName>
    <definedName name="PY_Current_Liabilities">#REF!</definedName>
    <definedName name="PY_Depreciation" localSheetId="0">#REF!</definedName>
    <definedName name="PY_Depreciation">#REF!</definedName>
    <definedName name="PY_Gross_Profit" localSheetId="0">#REF!</definedName>
    <definedName name="PY_Gross_Profit">#REF!</definedName>
    <definedName name="PY_Inc_Bef_Tax" localSheetId="0">#REF!</definedName>
    <definedName name="PY_Inc_Bef_Tax">#REF!</definedName>
    <definedName name="PY_Intangible_Assets" localSheetId="0">#REF!</definedName>
    <definedName name="PY_Intangible_Assets">#REF!</definedName>
    <definedName name="PY_Interest_Expense" localSheetId="0">#REF!</definedName>
    <definedName name="PY_Interest_Expense">#REF!</definedName>
    <definedName name="PY_Inventory" localSheetId="0">#REF!</definedName>
    <definedName name="PY_Inventory">#REF!</definedName>
    <definedName name="PY_LIABIL_EQUITY" localSheetId="0">#REF!</definedName>
    <definedName name="PY_LIABIL_EQUITY">#REF!</definedName>
    <definedName name="PY_LT_Debt" localSheetId="0">#REF!</definedName>
    <definedName name="PY_LT_Debt">#REF!</definedName>
    <definedName name="PY_Market_Value_of_Equity" localSheetId="0">#REF!</definedName>
    <definedName name="PY_Market_Value_of_Equity">#REF!</definedName>
    <definedName name="PY_Marketable_Sec" localSheetId="0">#REF!</definedName>
    <definedName name="PY_Marketable_Sec">#REF!</definedName>
    <definedName name="PY_NET_PROFIT" localSheetId="0">#REF!</definedName>
    <definedName name="PY_NET_PROFIT">#REF!</definedName>
    <definedName name="PY_Net_Revenue" localSheetId="0">#REF!</definedName>
    <definedName name="PY_Net_Revenue">#REF!</definedName>
    <definedName name="PY_Operating_Inc" localSheetId="0">#REF!</definedName>
    <definedName name="PY_Operating_Inc">#REF!</definedName>
    <definedName name="PY_Operating_Income" localSheetId="0">#REF!</definedName>
    <definedName name="PY_Operating_Income">#REF!</definedName>
    <definedName name="PY_Other_Curr_Assets" localSheetId="0">#REF!</definedName>
    <definedName name="PY_Other_Curr_Assets">#REF!</definedName>
    <definedName name="PY_Other_LT_Assets" localSheetId="0">#REF!</definedName>
    <definedName name="PY_Other_LT_Assets">#REF!</definedName>
    <definedName name="PY_Other_LT_Liabilities" localSheetId="0">#REF!</definedName>
    <definedName name="PY_Other_LT_Liabilities">#REF!</definedName>
    <definedName name="PY_Preferred_Stock" localSheetId="0">#REF!</definedName>
    <definedName name="PY_Preferred_Stock">#REF!</definedName>
    <definedName name="PY_QUICK_ASSETS" localSheetId="0">#REF!</definedName>
    <definedName name="PY_QUICK_ASSETS">#REF!</definedName>
    <definedName name="PY_Retained_Earnings" localSheetId="0">#REF!</definedName>
    <definedName name="PY_Retained_Earnings">#REF!</definedName>
    <definedName name="PY_Tangible_Assets" localSheetId="0">#REF!</definedName>
    <definedName name="PY_Tangible_Assets">#REF!</definedName>
    <definedName name="PY_Tangible_Net_Worth" localSheetId="0">#REF!</definedName>
    <definedName name="PY_Tangible_Net_Worth">#REF!</definedName>
    <definedName name="PY_Taxes" localSheetId="0">#REF!</definedName>
    <definedName name="PY_Taxes">#REF!</definedName>
    <definedName name="PY_TOTAL_ASSETS" localSheetId="0">#REF!</definedName>
    <definedName name="PY_TOTAL_ASSETS">#REF!</definedName>
    <definedName name="PY_TOTAL_CURR_ASSETS" localSheetId="0">#REF!</definedName>
    <definedName name="PY_TOTAL_CURR_ASSETS">#REF!</definedName>
    <definedName name="PY_TOTAL_DEBT" localSheetId="0">#REF!</definedName>
    <definedName name="PY_TOTAL_DEBT">#REF!</definedName>
    <definedName name="PY_TOTAL_EQUITY" localSheetId="0">#REF!</definedName>
    <definedName name="PY_TOTAL_EQUITY">#REF!</definedName>
    <definedName name="PY_Working_Capital" localSheetId="0">#REF!</definedName>
    <definedName name="PY_Working_Capital">#REF!</definedName>
    <definedName name="PY2_Accounts_Receivable" localSheetId="0">#REF!</definedName>
    <definedName name="PY2_Accounts_Receivable">#REF!</definedName>
    <definedName name="PY2_Cash" localSheetId="0">#REF!</definedName>
    <definedName name="PY2_Cash">#REF!</definedName>
    <definedName name="PY2_Common_Equity" localSheetId="0">#REF!</definedName>
    <definedName name="PY2_Common_Equity">#REF!</definedName>
    <definedName name="PY2_Cost_of_Sales" localSheetId="0">#REF!</definedName>
    <definedName name="PY2_Cost_of_Sales">#REF!</definedName>
    <definedName name="PY2_Current_Liabilities" localSheetId="0">#REF!</definedName>
    <definedName name="PY2_Current_Liabilities">#REF!</definedName>
    <definedName name="PY2_Depreciation" localSheetId="0">#REF!</definedName>
    <definedName name="PY2_Depreciation">#REF!</definedName>
    <definedName name="PY2_Gross_Profit" localSheetId="0">#REF!</definedName>
    <definedName name="PY2_Gross_Profit">#REF!</definedName>
    <definedName name="PY2_Inc_Bef_Tax" localSheetId="0">#REF!</definedName>
    <definedName name="PY2_Inc_Bef_Tax">#REF!</definedName>
    <definedName name="PY2_Intangible_Assets" localSheetId="0">#REF!</definedName>
    <definedName name="PY2_Intangible_Assets">#REF!</definedName>
    <definedName name="PY2_Interest_Expense" localSheetId="0">#REF!</definedName>
    <definedName name="PY2_Interest_Expense">#REF!</definedName>
    <definedName name="PY2_Inventory" localSheetId="0">#REF!</definedName>
    <definedName name="PY2_Inventory">#REF!</definedName>
    <definedName name="PY2_LIABIL_EQUITY" localSheetId="0">#REF!</definedName>
    <definedName name="PY2_LIABIL_EQUITY">#REF!</definedName>
    <definedName name="PY2_LT_Debt" localSheetId="0">#REF!</definedName>
    <definedName name="PY2_LT_Debt">#REF!</definedName>
    <definedName name="PY2_Marketable_Sec" localSheetId="0">#REF!</definedName>
    <definedName name="PY2_Marketable_Sec">#REF!</definedName>
    <definedName name="PY2_NET_PROFIT" localSheetId="0">#REF!</definedName>
    <definedName name="PY2_NET_PROFIT">#REF!</definedName>
    <definedName name="PY2_Net_Revenue" localSheetId="0">#REF!</definedName>
    <definedName name="PY2_Net_Revenue">#REF!</definedName>
    <definedName name="PY2_Operating_Inc" localSheetId="0">#REF!</definedName>
    <definedName name="PY2_Operating_Inc">#REF!</definedName>
    <definedName name="PY2_Operating_Income" localSheetId="0">#REF!</definedName>
    <definedName name="PY2_Operating_Income">#REF!</definedName>
    <definedName name="PY2_Other_Curr_Assets" localSheetId="0">#REF!</definedName>
    <definedName name="PY2_Other_Curr_Assets">#REF!</definedName>
    <definedName name="PY2_Other_LT_Assets" localSheetId="0">#REF!</definedName>
    <definedName name="PY2_Other_LT_Assets">#REF!</definedName>
    <definedName name="PY2_Other_LT_Liabilities" localSheetId="0">#REF!</definedName>
    <definedName name="PY2_Other_LT_Liabilities">#REF!</definedName>
    <definedName name="PY2_Preferred_Stock" localSheetId="0">#REF!</definedName>
    <definedName name="PY2_Preferred_Stock">#REF!</definedName>
    <definedName name="PY2_QUICK_ASSETS" localSheetId="0">#REF!</definedName>
    <definedName name="PY2_QUICK_ASSETS">#REF!</definedName>
    <definedName name="PY2_Retained_Earnings" localSheetId="0">#REF!</definedName>
    <definedName name="PY2_Retained_Earnings">#REF!</definedName>
    <definedName name="PY2_Tangible_Assets" localSheetId="0">#REF!</definedName>
    <definedName name="PY2_Tangible_Assets">#REF!</definedName>
    <definedName name="PY2_Tangible_Net_Worth" localSheetId="0">#REF!</definedName>
    <definedName name="PY2_Tangible_Net_Worth">#REF!</definedName>
    <definedName name="PY2_Taxes" localSheetId="0">#REF!</definedName>
    <definedName name="PY2_Taxes">#REF!</definedName>
    <definedName name="PY2_TOTAL_ASSETS" localSheetId="0">#REF!</definedName>
    <definedName name="PY2_TOTAL_ASSETS">#REF!</definedName>
    <definedName name="PY2_TOTAL_CURR_ASSETS" localSheetId="0">#REF!</definedName>
    <definedName name="PY2_TOTAL_CURR_ASSETS">#REF!</definedName>
    <definedName name="PY2_TOTAL_DEBT" localSheetId="0">#REF!</definedName>
    <definedName name="PY2_TOTAL_DEBT">#REF!</definedName>
    <definedName name="PY2_TOTAL_EQUITY" localSheetId="0">#REF!</definedName>
    <definedName name="PY2_TOTAL_EQUITY">#REF!</definedName>
    <definedName name="PY2_Working_Capital" localSheetId="0">#REF!</definedName>
    <definedName name="PY2_Working_Capital">#REF!</definedName>
    <definedName name="pz" localSheetId="0">#REF!</definedName>
    <definedName name="pz">#REF!</definedName>
    <definedName name="Q1_901s_materials">'[28]Production_Ref Q-1-3'!$V$32:$V$82</definedName>
    <definedName name="Q1_902_903s">'[28]Production_Ref Q-1-3'!$V$83:$V$104</definedName>
    <definedName name="Q1_AJE_KLO" localSheetId="0">#REF!</definedName>
    <definedName name="Q1_AJE_KLO">#REF!</definedName>
    <definedName name="Q1_AJE41_payroll" localSheetId="0">#REF!</definedName>
    <definedName name="Q1_AJE41_payroll">#REF!</definedName>
    <definedName name="Q1_audit_expenses" localSheetId="0">#REF!</definedName>
    <definedName name="Q1_audit_expenses">#REF!</definedName>
    <definedName name="Q1_bank_services" localSheetId="0">#REF!</definedName>
    <definedName name="Q1_bank_services">#REF!</definedName>
    <definedName name="Q1_catering_services" localSheetId="0">#REF!</definedName>
    <definedName name="Q1_catering_services">#REF!</definedName>
    <definedName name="Q1_communication_expenses" localSheetId="0">#REF!</definedName>
    <definedName name="Q1_communication_expenses">#REF!</definedName>
    <definedName name="Q1_contract_interpreters" localSheetId="0">#REF!</definedName>
    <definedName name="Q1_contract_interpreters">#REF!</definedName>
    <definedName name="Q1_DD_AJEs" localSheetId="0">#REF!</definedName>
    <definedName name="Q1_DD_AJEs">#REF!</definedName>
    <definedName name="Q1_DD_provision_KZT" localSheetId="0">#REF!</definedName>
    <definedName name="Q1_DD_provision_KZT">#REF!</definedName>
    <definedName name="Q1_donations" localSheetId="0">#REF!</definedName>
    <definedName name="Q1_donations">#REF!</definedName>
    <definedName name="Q1_donations_Kaisar" localSheetId="0">#REF!</definedName>
    <definedName name="Q1_donations_Kaisar">#REF!</definedName>
    <definedName name="Q1_excise_tax">'[28]Production_Ref Q-1-3'!$V$28</definedName>
    <definedName name="Q1_expat_payroll" localSheetId="0">#REF!</definedName>
    <definedName name="Q1_expat_payroll">#REF!</definedName>
    <definedName name="Q1_expat_travel" localSheetId="0">#REF!</definedName>
    <definedName name="Q1_expat_travel">#REF!</definedName>
    <definedName name="Q1_Farm_expat_payroll" localSheetId="0">#REF!</definedName>
    <definedName name="Q1_Farm_expat_payroll">#REF!</definedName>
    <definedName name="Q1_farm_GA" localSheetId="0">#REF!</definedName>
    <definedName name="Q1_farm_GA">#REF!</definedName>
    <definedName name="Q1_Farm_other" localSheetId="0">#REF!,#REF!,#REF!,#REF!,#REF!,#REF!,#REF!,#REF!,#REF!,#REF!</definedName>
    <definedName name="Q1_Farm_other">#REF!,#REF!,#REF!,#REF!,#REF!,#REF!,#REF!,#REF!,#REF!,#REF!</definedName>
    <definedName name="Q1_Farm_payroll_nationals" localSheetId="0">#REF!,#REF!</definedName>
    <definedName name="Q1_Farm_payroll_nationals">#REF!,#REF!</definedName>
    <definedName name="Q1_insurance" localSheetId="0">#REF!</definedName>
    <definedName name="Q1_insurance">#REF!</definedName>
    <definedName name="Q1_KLO_KZT" localSheetId="0">#REF!</definedName>
    <definedName name="Q1_KLO_KZT">#REF!</definedName>
    <definedName name="Q1_KLO_Royalty_KZT">'[28]Production_Ref Q-1-3'!$S$17</definedName>
    <definedName name="Q1_legal_settlements" localSheetId="0">#REF!</definedName>
    <definedName name="Q1_legal_settlements">#REF!</definedName>
    <definedName name="Q1_medical_expenses" localSheetId="0">#REF!</definedName>
    <definedName name="Q1_medical_expenses">#REF!</definedName>
    <definedName name="Q1_mngnt_services" localSheetId="0">#REF!</definedName>
    <definedName name="Q1_mngnt_services">#REF!</definedName>
    <definedName name="Q1_national_payroll" localSheetId="0">#REF!,#REF!</definedName>
    <definedName name="Q1_national_payroll">#REF!,#REF!</definedName>
    <definedName name="Q1_overheads_KZT">'[28]Production_Ref Q-1-3'!$Q$17:$R$17,'[28]Production_Ref Q-1-3'!$T$19:$T$23,'[28]Production_Ref Q-1-3'!$T$26,'[28]Production_Ref Q-1-3'!$Q$30,'[28]Production_Ref Q-1-3'!$T$106:$T$258,'[28]Production_Ref Q-1-3'!$T$265:$T$268</definedName>
    <definedName name="Q1_pipeline_tariff">'[28]Production_Ref Q-1-3'!$V$24</definedName>
    <definedName name="Q1_property_tax" localSheetId="0">#REF!</definedName>
    <definedName name="Q1_property_tax">#REF!</definedName>
    <definedName name="Q1_railway_tariff">'[28]Production_Ref Q-1-3'!$V$25</definedName>
    <definedName name="Q1_security" localSheetId="0">#REF!</definedName>
    <definedName name="Q1_security">#REF!</definedName>
    <definedName name="Q1_tax_advice" localSheetId="0">#REF!</definedName>
    <definedName name="Q1_tax_advice">#REF!</definedName>
    <definedName name="Q1_trucking_services" localSheetId="0">#REF!</definedName>
    <definedName name="Q1_trucking_services">#REF!</definedName>
    <definedName name="Q1_TurgaiPetroleum">'[28]Production_Ref Q-1-3'!$S$30</definedName>
    <definedName name="Q2_901s_materials">'[28]Production_Ref Q-1-3'!$N$32:$N$82</definedName>
    <definedName name="Q2_902_903s">'[28]Production_Ref Q-1-3'!$N$83:$N$104</definedName>
    <definedName name="Q2_AJE50_901s">'[28]Production_Ref Q-1-3'!$N$273</definedName>
    <definedName name="Q2_AJE51_KLO_USD">'[28]Production_Ref Q-1-3'!$N$275</definedName>
    <definedName name="Q2_AJE62_pipeline_tariff">'[28]Production_Ref Q-1-3'!$N$277</definedName>
    <definedName name="Q2_AJE68_pipeline_tariff">'[28]Production_Ref Q-1-3'!$N$279</definedName>
    <definedName name="Q2_AJE77_pipeline_tariff">'[28]Production_Ref Q-1-3'!$N$283</definedName>
    <definedName name="Q2_audit_expenses" localSheetId="0">#REF!</definedName>
    <definedName name="Q2_audit_expenses">#REF!</definedName>
    <definedName name="Q2_baddebt_provision" localSheetId="0">#REF!</definedName>
    <definedName name="Q2_baddebt_provision">#REF!</definedName>
    <definedName name="Q2_bank_services" localSheetId="0">#REF!</definedName>
    <definedName name="Q2_bank_services">#REF!</definedName>
    <definedName name="Q2_catering_services" localSheetId="0">#REF!</definedName>
    <definedName name="Q2_catering_services">#REF!</definedName>
    <definedName name="Q2_communication_expenses" localSheetId="0">#REF!</definedName>
    <definedName name="Q2_communication_expenses">#REF!</definedName>
    <definedName name="Q2_contract_interpreters" localSheetId="0">#REF!</definedName>
    <definedName name="Q2_contract_interpreters">#REF!</definedName>
    <definedName name="Q2_donation_Kaisar" localSheetId="0">#REF!</definedName>
    <definedName name="Q2_donation_Kaisar">#REF!</definedName>
    <definedName name="Q2_donations" localSheetId="0">#REF!</definedName>
    <definedName name="Q2_donations">#REF!</definedName>
    <definedName name="Q2_excise_tax">'[28]Production_Ref Q-1-3'!$N$28</definedName>
    <definedName name="Q2_expat_payroll" localSheetId="0">#REF!</definedName>
    <definedName name="Q2_expat_payroll">#REF!</definedName>
    <definedName name="Q2_expat_travel" localSheetId="0">#REF!</definedName>
    <definedName name="Q2_expat_travel">#REF!</definedName>
    <definedName name="Q2_farm_GA" localSheetId="0">#REF!</definedName>
    <definedName name="Q2_farm_GA">#REF!</definedName>
    <definedName name="Q2_farm_other" localSheetId="0">#REF!,#REF!,#REF!,#REF!,#REF!,#REF!,#REF!,#REF!,#REF!,#REF!,#REF!,#REF!</definedName>
    <definedName name="Q2_farm_other">#REF!,#REF!,#REF!,#REF!,#REF!,#REF!,#REF!,#REF!,#REF!,#REF!,#REF!,#REF!</definedName>
    <definedName name="Q2_farm_payroll" localSheetId="0">#REF!,#REF!</definedName>
    <definedName name="Q2_farm_payroll">#REF!,#REF!</definedName>
    <definedName name="Q2_insurance" localSheetId="0">#REF!</definedName>
    <definedName name="Q2_insurance">#REF!</definedName>
    <definedName name="Q2_KLO" localSheetId="0">#REF!</definedName>
    <definedName name="Q2_KLO">#REF!</definedName>
    <definedName name="Q2_KTO_crude">'[28]Production_Ref Q-1-3'!$N$281</definedName>
    <definedName name="Q2_legal_settlements" localSheetId="0">#REF!</definedName>
    <definedName name="Q2_legal_settlements">#REF!</definedName>
    <definedName name="Q2_medical_expenses" localSheetId="0">#REF!</definedName>
    <definedName name="Q2_medical_expenses">#REF!</definedName>
    <definedName name="Q2_mngnt_services" localSheetId="0">#REF!</definedName>
    <definedName name="Q2_mngnt_services">#REF!</definedName>
    <definedName name="Q2_national_payroll" localSheetId="0">#REF!,#REF!</definedName>
    <definedName name="Q2_national_payroll">#REF!,#REF!</definedName>
    <definedName name="Q2_overheads">'[28]Production_Ref Q-1-3'!$N$7:$N$23,'[28]Production_Ref Q-1-3'!$N$26,'[28]Production_Ref Q-1-3'!$N$106:$N$258</definedName>
    <definedName name="Q2_pipeline_tariff">'[28]Production_Ref Q-1-3'!$N$24</definedName>
    <definedName name="Q2_property_tax" localSheetId="0">#REF!</definedName>
    <definedName name="Q2_property_tax">#REF!</definedName>
    <definedName name="Q2_railway_tariff">'[28]Production_Ref Q-1-3'!$N$25</definedName>
    <definedName name="Q2_security" localSheetId="0">#REF!</definedName>
    <definedName name="Q2_security">#REF!</definedName>
    <definedName name="Q2_tax_advice" localSheetId="0">#REF!</definedName>
    <definedName name="Q2_tax_advice">#REF!</definedName>
    <definedName name="Q2_trucking_services" localSheetId="0">#REF!</definedName>
    <definedName name="Q2_trucking_services">#REF!</definedName>
    <definedName name="Q2_TurgaiPetroleum_KZT">'[28]Production_Ref Q-1-3'!$K$31</definedName>
    <definedName name="Q3_901s_materials">'[28]Production_Ref Q-1-3'!$G$32:$G$82</definedName>
    <definedName name="Q3_902_903s">'[28]Production_Ref Q-1-3'!$G$83:$G$104</definedName>
    <definedName name="Q3_AJE10_KLO">'[28]Production_Ref Q-1-3'!$G$287</definedName>
    <definedName name="Q3_AJE11_pipeline_tariff">'[28]Production_Ref Q-1-3'!$G$289</definedName>
    <definedName name="Q3_AJEs_other" localSheetId="0">#REF!</definedName>
    <definedName name="Q3_AJEs_other">#REF!</definedName>
    <definedName name="Q3_audit_expenses" localSheetId="0">#REF!</definedName>
    <definedName name="Q3_audit_expenses">#REF!</definedName>
    <definedName name="Q3_baddebts_provisions" localSheetId="0">#REF!</definedName>
    <definedName name="Q3_baddebts_provisions">#REF!</definedName>
    <definedName name="Q3_bank_services" localSheetId="0">#REF!</definedName>
    <definedName name="Q3_bank_services">#REF!</definedName>
    <definedName name="Q3_catering_services" localSheetId="0">#REF!</definedName>
    <definedName name="Q3_catering_services">#REF!</definedName>
    <definedName name="Q3_communication_expenses" localSheetId="0">#REF!</definedName>
    <definedName name="Q3_communication_expenses">#REF!</definedName>
    <definedName name="Q3_contract_interpreters" localSheetId="0">#REF!</definedName>
    <definedName name="Q3_contract_interpreters">#REF!</definedName>
    <definedName name="Q3_donation_Kaisar" localSheetId="0">#REF!</definedName>
    <definedName name="Q3_donation_Kaisar">#REF!</definedName>
    <definedName name="Q3_donations" localSheetId="0">#REF!</definedName>
    <definedName name="Q3_donations">#REF!</definedName>
    <definedName name="Q3_excise_tax">'[28]Production_Ref Q-1-3'!$G$28</definedName>
    <definedName name="Q3_expat_payroll" localSheetId="0">#REF!</definedName>
    <definedName name="Q3_expat_payroll">#REF!</definedName>
    <definedName name="Q3_expat_travel" localSheetId="0">#REF!</definedName>
    <definedName name="Q3_expat_travel">#REF!</definedName>
    <definedName name="Q3_insurance" localSheetId="0">#REF!</definedName>
    <definedName name="Q3_insurance">#REF!</definedName>
    <definedName name="Q3_KLO" localSheetId="0">#REF!</definedName>
    <definedName name="Q3_KLO">#REF!</definedName>
    <definedName name="Q3_legal_settlements" localSheetId="0">#REF!</definedName>
    <definedName name="Q3_legal_settlements">#REF!</definedName>
    <definedName name="Q3_medical_expenses" localSheetId="0">#REF!</definedName>
    <definedName name="Q3_medical_expenses">#REF!</definedName>
    <definedName name="Q3_mngt_services" localSheetId="0">#REF!</definedName>
    <definedName name="Q3_mngt_services">#REF!</definedName>
    <definedName name="Q3_national_payroll" localSheetId="0">#REF!,#REF!</definedName>
    <definedName name="Q3_national_payroll">#REF!,#REF!</definedName>
    <definedName name="Q3_other" localSheetId="0">#REF!,#REF!,#REF!,#REF!,#REF!,#REF!,#REF!,#REF!,#REF!,#REF!,#REF!,#REF!,#REF!,#REF!,#REF!,#REF!</definedName>
    <definedName name="Q3_other">#REF!,#REF!,#REF!,#REF!,#REF!,#REF!,#REF!,#REF!,#REF!,#REF!,#REF!,#REF!,#REF!,#REF!,#REF!,#REF!</definedName>
    <definedName name="Q3_overheads">'[28]Production_Ref Q-1-3'!$G$17:$G$23,'[28]Production_Ref Q-1-3'!$G$26,'[28]Production_Ref Q-1-3'!$G$106:$G$143,'[28]Production_Ref Q-1-3'!$G$144:$G$180,'[28]Production_Ref Q-1-3'!$G$181:$G$217,'[28]Production_Ref Q-1-3'!$G$218:$G$258,'[28]Production_Ref Q-1-3'!$G$285</definedName>
    <definedName name="Q3_pipeline_tariff">'[28]Production_Ref Q-1-3'!$G$24</definedName>
    <definedName name="Q3_property_tax" localSheetId="0">#REF!</definedName>
    <definedName name="Q3_property_tax">#REF!</definedName>
    <definedName name="Q3_railway_tariff">'[28]Production_Ref Q-1-3'!$G$25</definedName>
    <definedName name="Q3_security" localSheetId="0">#REF!</definedName>
    <definedName name="Q3_security">#REF!</definedName>
    <definedName name="Q3_tax_advice" localSheetId="0">#REF!</definedName>
    <definedName name="Q3_tax_advice">#REF!</definedName>
    <definedName name="Q3_trucking_services" localSheetId="0">#REF!</definedName>
    <definedName name="Q3_trucking_services">#REF!</definedName>
    <definedName name="Q3_TurgaiPetroleum">'[28]Production_Ref Q-1-3'!$G$31</definedName>
    <definedName name="Q3_VAT_nondeductible" localSheetId="0">#REF!</definedName>
    <definedName name="Q3_VAT_nondeductible">#REF!</definedName>
    <definedName name="Q4_labour" localSheetId="0">SUM(#REF!)</definedName>
    <definedName name="Q4_labour">SUM(#REF!)</definedName>
    <definedName name="Q4_Materials" localSheetId="0">SUM(#REF!)</definedName>
    <definedName name="Q4_Materials">SUM(#REF!)</definedName>
    <definedName name="Q4_Overheads" localSheetId="0">SUM(#REF!,#REF!,#REF!)</definedName>
    <definedName name="Q4_Overheads">SUM(#REF!,#REF!,#REF!)</definedName>
    <definedName name="qqq" localSheetId="0">'[26]GAAP TB 30.09.01  detail p&amp;l'!#REF!</definedName>
    <definedName name="qqq">'[26]GAAP TB 30.09.01  detail p&amp;l'!#REF!</definedName>
    <definedName name="qsda" hidden="1">4</definedName>
    <definedName name="qwe">[29]Форма2!$C$19:$C$24,[29]Форма2!$E$19:$F$24,[29]Форма2!$D$26:$F$31,[29]Форма2!$C$33:$C$38,[29]Форма2!$E$33:$F$38,[29]Форма2!$D$40:$F$43,[29]Форма2!$C$45:$C$48,[29]Форма2!$E$45:$F$48,[29]Форма2!$C$19</definedName>
    <definedName name="qwe_13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qwe_16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qwe_18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R_Factor" localSheetId="0">#REF!</definedName>
    <definedName name="R_Factor">#REF!</definedName>
    <definedName name="rate7" localSheetId="0">#REF!</definedName>
    <definedName name="rate7">#REF!</definedName>
    <definedName name="Ref_1">'[31]FA Movement Kyrg'!$E$22</definedName>
    <definedName name="Ref_10">'[31]FA Movement Kyrg'!$I$39</definedName>
    <definedName name="Ref_11">'[31]FA Movement Kyrg'!$K$39</definedName>
    <definedName name="Ref_12">'[31]FA Movement Kyrg'!$K$17</definedName>
    <definedName name="Ref_13">'[31]FA Movement Kyrg'!$C$17</definedName>
    <definedName name="Ref_14">'[31]FA Movement Kyrg'!$E$17</definedName>
    <definedName name="Ref_2">'[31]FA Movement Kyrg'!$A$1</definedName>
    <definedName name="Ref_3" localSheetId="0">#REF!</definedName>
    <definedName name="Ref_3">#REF!</definedName>
    <definedName name="Ref_4">'[31]FA Movement Kyrg'!$A$19</definedName>
    <definedName name="Ref_5">'[31]FA Movement Kyrg'!$C$17</definedName>
    <definedName name="Ref_6">'[31]FA Movement Kyrg'!$K$17</definedName>
    <definedName name="Ref_7">'[31]FA Movement Kyrg'!$C$28</definedName>
    <definedName name="Ref_8">'[31]FA Movement Kyrg'!$C$28</definedName>
    <definedName name="Ref_9">'[31]FA Movement Kyrg'!$K$28</definedName>
    <definedName name="refined" localSheetId="0">#REF!</definedName>
    <definedName name="refined">#REF!</definedName>
    <definedName name="Reserve_Stats" localSheetId="0">#REF!</definedName>
    <definedName name="Reserve_Stats">#REF!</definedName>
    <definedName name="Reserve_Stats1" localSheetId="0">#REF!</definedName>
    <definedName name="Reserve_Stats1">#REF!</definedName>
    <definedName name="Reserves" localSheetId="0">#REF!</definedName>
    <definedName name="Reserves">#REF!</definedName>
    <definedName name="Reserves1" localSheetId="0">#REF!</definedName>
    <definedName name="Reserves1">#REF!</definedName>
    <definedName name="Residual_difference" localSheetId="0">#REF!</definedName>
    <definedName name="Residual_difference">#REF!</definedName>
    <definedName name="respirators" localSheetId="0">#REF!</definedName>
    <definedName name="respirators">#REF!</definedName>
    <definedName name="rjhjdf" localSheetId="0" hidden="1">{#N/A,#N/A,FALSE,"МТВ"}</definedName>
    <definedName name="rjhjdf" hidden="1">{#N/A,#N/A,FALSE,"МТВ"}</definedName>
    <definedName name="rng" localSheetId="0">#REF!</definedName>
    <definedName name="rng">#REF!</definedName>
    <definedName name="rngChartRange" localSheetId="0">#REF!</definedName>
    <definedName name="rngChartRange">#REF!</definedName>
    <definedName name="rngChartRange_13" localSheetId="0">#REF!</definedName>
    <definedName name="rngChartRange_13">#REF!</definedName>
    <definedName name="rngChartRange_16" localSheetId="0">#REF!</definedName>
    <definedName name="rngChartRange_16">#REF!</definedName>
    <definedName name="rngChartRange_18" localSheetId="0">#REF!</definedName>
    <definedName name="rngChartRange_18">#REF!</definedName>
    <definedName name="rngDataAll" localSheetId="0">#REF!</definedName>
    <definedName name="rngDataAll">#REF!</definedName>
    <definedName name="rngDataAll_13" localSheetId="0">#REF!</definedName>
    <definedName name="rngDataAll_13">#REF!</definedName>
    <definedName name="rngDataAll_16" localSheetId="0">#REF!</definedName>
    <definedName name="rngDataAll_16">#REF!</definedName>
    <definedName name="rngDataAll_18" localSheetId="0">#REF!</definedName>
    <definedName name="rngDataAll_18">#REF!</definedName>
    <definedName name="rngEnd" localSheetId="0">#REF!</definedName>
    <definedName name="rngEnd">#REF!</definedName>
    <definedName name="rngEnd_13" localSheetId="0">#REF!</definedName>
    <definedName name="rngEnd_13">#REF!</definedName>
    <definedName name="rngEnd_16" localSheetId="0">#REF!</definedName>
    <definedName name="rngEnd_16">#REF!</definedName>
    <definedName name="rngEnd_18" localSheetId="0">#REF!</definedName>
    <definedName name="rngEnd_18">#REF!</definedName>
    <definedName name="rngIATACode" localSheetId="0">#REF!</definedName>
    <definedName name="rngIATACode">#REF!</definedName>
    <definedName name="rngIATACode_13" localSheetId="0">#REF!</definedName>
    <definedName name="rngIATACode_13">#REF!</definedName>
    <definedName name="rngIATACode_16" localSheetId="0">#REF!</definedName>
    <definedName name="rngIATACode_16">#REF!</definedName>
    <definedName name="rngIATACode_18" localSheetId="0">#REF!</definedName>
    <definedName name="rngIATACode_18">#REF!</definedName>
    <definedName name="rngResStart" localSheetId="0">#REF!</definedName>
    <definedName name="rngResStart">#REF!</definedName>
    <definedName name="rngResStart_13" localSheetId="0">#REF!</definedName>
    <definedName name="rngResStart_13">#REF!</definedName>
    <definedName name="rngResStart_16" localSheetId="0">#REF!</definedName>
    <definedName name="rngResStart_16">#REF!</definedName>
    <definedName name="rngResStart_18" localSheetId="0">#REF!</definedName>
    <definedName name="rngResStart_18">#REF!</definedName>
    <definedName name="rngStart" localSheetId="0">#REF!</definedName>
    <definedName name="rngStart">#REF!</definedName>
    <definedName name="rngStart_13" localSheetId="0">#REF!</definedName>
    <definedName name="rngStart_13">#REF!</definedName>
    <definedName name="rngStart_16" localSheetId="0">#REF!</definedName>
    <definedName name="rngStart_16">#REF!</definedName>
    <definedName name="rngStart_18" localSheetId="0">#REF!</definedName>
    <definedName name="rngStart_18">#REF!</definedName>
    <definedName name="rngUpdate" localSheetId="0">#REF!</definedName>
    <definedName name="rngUpdate">#REF!</definedName>
    <definedName name="rngUpdate_13" localSheetId="0">#REF!</definedName>
    <definedName name="rngUpdate_13">#REF!</definedName>
    <definedName name="rngUpdate_16" localSheetId="0">#REF!</definedName>
    <definedName name="rngUpdate_16">#REF!</definedName>
    <definedName name="rngUpdate_18" localSheetId="0">#REF!</definedName>
    <definedName name="rngUpdate_18">#REF!</definedName>
    <definedName name="rost" localSheetId="0">#REF!</definedName>
    <definedName name="rost">#REF!</definedName>
    <definedName name="rty" localSheetId="0" hidden="1">{#N/A,#N/A,FALSE,"МТВ"}</definedName>
    <definedName name="rty" hidden="1">{#N/A,#N/A,FALSE,"МТВ"}</definedName>
    <definedName name="rur_month" localSheetId="0">#REF!</definedName>
    <definedName name="rur_month">#REF!</definedName>
    <definedName name="rur_year" localSheetId="0">#REF!</definedName>
    <definedName name="rur_year">#REF!</definedName>
    <definedName name="rus" localSheetId="0">#REF!</definedName>
    <definedName name="rus">#REF!</definedName>
    <definedName name="S_AcctDes" localSheetId="0">#REF!</definedName>
    <definedName name="S_AcctDes">#REF!</definedName>
    <definedName name="S_Adjust" localSheetId="0">#REF!</definedName>
    <definedName name="S_Adjust">#REF!</definedName>
    <definedName name="S_Adjust_Data" localSheetId="0">#REF!</definedName>
    <definedName name="S_Adjust_Data">#REF!</definedName>
    <definedName name="S_Adjust_GT" localSheetId="0">#REF!</definedName>
    <definedName name="S_Adjust_GT">#REF!</definedName>
    <definedName name="S_AJE_Tot" localSheetId="0">#REF!</definedName>
    <definedName name="S_AJE_Tot">#REF!</definedName>
    <definedName name="S_AJE_Tot_Data" localSheetId="0">#REF!</definedName>
    <definedName name="S_AJE_Tot_Data">#REF!</definedName>
    <definedName name="S_AJE_Tot_GT" localSheetId="0">#REF!</definedName>
    <definedName name="S_AJE_Tot_GT">#REF!</definedName>
    <definedName name="S_CompNum" localSheetId="0">#REF!</definedName>
    <definedName name="S_CompNum">#REF!</definedName>
    <definedName name="S_CY_Beg" localSheetId="0">#REF!</definedName>
    <definedName name="S_CY_Beg">#REF!</definedName>
    <definedName name="S_CY_Beg_Data" localSheetId="0">#REF!</definedName>
    <definedName name="S_CY_Beg_Data">#REF!</definedName>
    <definedName name="S_CY_Beg_GT" localSheetId="0">#REF!</definedName>
    <definedName name="S_CY_Beg_GT">#REF!</definedName>
    <definedName name="S_CY_End" localSheetId="0">#REF!</definedName>
    <definedName name="S_CY_End">#REF!</definedName>
    <definedName name="S_CY_End_Data" localSheetId="0">#REF!</definedName>
    <definedName name="S_CY_End_Data">#REF!</definedName>
    <definedName name="S_CY_End_GT" localSheetId="0">#REF!</definedName>
    <definedName name="S_CY_End_GT">#REF!</definedName>
    <definedName name="S_Diff_Amt" localSheetId="0">#REF!</definedName>
    <definedName name="S_Diff_Amt">#REF!</definedName>
    <definedName name="S_Diff_Pct" localSheetId="0">#REF!</definedName>
    <definedName name="S_Diff_Pct">#REF!</definedName>
    <definedName name="S_GrpNum" localSheetId="0">#REF!</definedName>
    <definedName name="S_GrpNum">#REF!</definedName>
    <definedName name="S_Headings" localSheetId="0">#REF!</definedName>
    <definedName name="S_Headings">#REF!</definedName>
    <definedName name="S_KeyValue" localSheetId="0">#REF!</definedName>
    <definedName name="S_KeyValue">#REF!</definedName>
    <definedName name="S_PY_End" localSheetId="0">#REF!</definedName>
    <definedName name="S_PY_End">#REF!</definedName>
    <definedName name="S_PY_End_Data" localSheetId="0">#REF!</definedName>
    <definedName name="S_PY_End_Data">#REF!</definedName>
    <definedName name="S_PY_End_GT" localSheetId="0">#REF!</definedName>
    <definedName name="S_PY_End_GT">#REF!</definedName>
    <definedName name="S_RJE_Tot" localSheetId="0">#REF!</definedName>
    <definedName name="S_RJE_Tot">#REF!</definedName>
    <definedName name="S_RJE_Tot_Data" localSheetId="0">#REF!</definedName>
    <definedName name="S_RJE_Tot_Data">#REF!</definedName>
    <definedName name="S_RJE_Tot_GT" localSheetId="0">#REF!</definedName>
    <definedName name="S_RJE_Tot_GT">#REF!</definedName>
    <definedName name="S_RowNum" localSheetId="0">#REF!</definedName>
    <definedName name="S_RowNum">#REF!</definedName>
    <definedName name="S1_" localSheetId="0">#REF!</definedName>
    <definedName name="S1_">#REF!</definedName>
    <definedName name="S1__13" localSheetId="0">#REF!</definedName>
    <definedName name="S1__13">#REF!</definedName>
    <definedName name="S1__16" localSheetId="0">#REF!</definedName>
    <definedName name="S1__16">#REF!</definedName>
    <definedName name="S1__18" localSheetId="0">#REF!</definedName>
    <definedName name="S1__18">#REF!</definedName>
    <definedName name="s1_0" localSheetId="0">#REF!</definedName>
    <definedName name="s1_0">#REF!</definedName>
    <definedName name="s1_0_13" localSheetId="0">#REF!</definedName>
    <definedName name="s1_0_13">#REF!</definedName>
    <definedName name="s1_0_16" localSheetId="0">#REF!</definedName>
    <definedName name="s1_0_16">#REF!</definedName>
    <definedName name="s1_0_17" localSheetId="0">#REF!</definedName>
    <definedName name="s1_0_17">#REF!</definedName>
    <definedName name="s1_0_18" localSheetId="0">#REF!</definedName>
    <definedName name="s1_0_18">#REF!</definedName>
    <definedName name="s1_1" localSheetId="0">#REF!</definedName>
    <definedName name="s1_1">#REF!</definedName>
    <definedName name="s1_1_13" localSheetId="0">#REF!</definedName>
    <definedName name="s1_1_13">#REF!</definedName>
    <definedName name="s1_1_16" localSheetId="0">#REF!</definedName>
    <definedName name="s1_1_16">#REF!</definedName>
    <definedName name="s1_1_17" localSheetId="0">#REF!</definedName>
    <definedName name="s1_1_17">#REF!</definedName>
    <definedName name="s1_1_18" localSheetId="0">#REF!</definedName>
    <definedName name="s1_1_18">#REF!</definedName>
    <definedName name="S10_" localSheetId="0">#REF!</definedName>
    <definedName name="S10_">#REF!</definedName>
    <definedName name="S10__13" localSheetId="0">#REF!</definedName>
    <definedName name="S10__13">#REF!</definedName>
    <definedName name="S10__16" localSheetId="0">#REF!</definedName>
    <definedName name="S10__16">#REF!</definedName>
    <definedName name="S10__18" localSheetId="0">#REF!</definedName>
    <definedName name="S10__18">#REF!</definedName>
    <definedName name="S11_" localSheetId="0">#REF!</definedName>
    <definedName name="S11_">#REF!</definedName>
    <definedName name="S11__13" localSheetId="0">#REF!</definedName>
    <definedName name="S11__13">#REF!</definedName>
    <definedName name="S11__16" localSheetId="0">#REF!</definedName>
    <definedName name="S11__16">#REF!</definedName>
    <definedName name="S11__18" localSheetId="0">#REF!</definedName>
    <definedName name="S11__18">#REF!</definedName>
    <definedName name="S12_" localSheetId="0">#REF!</definedName>
    <definedName name="S12_">#REF!</definedName>
    <definedName name="S12__13" localSheetId="0">#REF!</definedName>
    <definedName name="S12__13">#REF!</definedName>
    <definedName name="S12__16" localSheetId="0">#REF!</definedName>
    <definedName name="S12__16">#REF!</definedName>
    <definedName name="S12__18" localSheetId="0">#REF!</definedName>
    <definedName name="S12__18">#REF!</definedName>
    <definedName name="S13_" localSheetId="0">#REF!</definedName>
    <definedName name="S13_">#REF!</definedName>
    <definedName name="S13__13" localSheetId="0">#REF!</definedName>
    <definedName name="S13__13">#REF!</definedName>
    <definedName name="S13__16" localSheetId="0">#REF!</definedName>
    <definedName name="S13__16">#REF!</definedName>
    <definedName name="S13__18" localSheetId="0">#REF!</definedName>
    <definedName name="S13__18">#REF!</definedName>
    <definedName name="S14_" localSheetId="0">#REF!</definedName>
    <definedName name="S14_">#REF!</definedName>
    <definedName name="S14__13" localSheetId="0">#REF!</definedName>
    <definedName name="S14__13">#REF!</definedName>
    <definedName name="S14__16" localSheetId="0">#REF!</definedName>
    <definedName name="S14__16">#REF!</definedName>
    <definedName name="S14__18" localSheetId="0">#REF!</definedName>
    <definedName name="S14__18">#REF!</definedName>
    <definedName name="S15_" localSheetId="0">#REF!</definedName>
    <definedName name="S15_">#REF!</definedName>
    <definedName name="S15__13" localSheetId="0">#REF!</definedName>
    <definedName name="S15__13">#REF!</definedName>
    <definedName name="S15__16" localSheetId="0">#REF!</definedName>
    <definedName name="S15__16">#REF!</definedName>
    <definedName name="S15__18" localSheetId="0">#REF!</definedName>
    <definedName name="S15__18">#REF!</definedName>
    <definedName name="S16_" localSheetId="0">#REF!</definedName>
    <definedName name="S16_">#REF!</definedName>
    <definedName name="S16__13" localSheetId="0">#REF!</definedName>
    <definedName name="S16__13">#REF!</definedName>
    <definedName name="S16__16" localSheetId="0">#REF!</definedName>
    <definedName name="S16__16">#REF!</definedName>
    <definedName name="S16__18" localSheetId="0">#REF!</definedName>
    <definedName name="S16__18">#REF!</definedName>
    <definedName name="S17_" localSheetId="0">#REF!</definedName>
    <definedName name="S17_">#REF!</definedName>
    <definedName name="S17__13" localSheetId="0">#REF!</definedName>
    <definedName name="S17__13">#REF!</definedName>
    <definedName name="S17__16" localSheetId="0">#REF!</definedName>
    <definedName name="S17__16">#REF!</definedName>
    <definedName name="S17__18" localSheetId="0">#REF!</definedName>
    <definedName name="S17__18">#REF!</definedName>
    <definedName name="S18_" localSheetId="0">#REF!</definedName>
    <definedName name="S18_">#REF!</definedName>
    <definedName name="S18__13" localSheetId="0">#REF!</definedName>
    <definedName name="S18__13">#REF!</definedName>
    <definedName name="S18__16" localSheetId="0">#REF!</definedName>
    <definedName name="S18__16">#REF!</definedName>
    <definedName name="S18__18" localSheetId="0">#REF!</definedName>
    <definedName name="S18__18">#REF!</definedName>
    <definedName name="S19_" localSheetId="0">#REF!</definedName>
    <definedName name="S19_">#REF!</definedName>
    <definedName name="S19__13" localSheetId="0">#REF!</definedName>
    <definedName name="S19__13">#REF!</definedName>
    <definedName name="S19__16" localSheetId="0">#REF!</definedName>
    <definedName name="S19__16">#REF!</definedName>
    <definedName name="S19__18" localSheetId="0">#REF!</definedName>
    <definedName name="S19__18">#REF!</definedName>
    <definedName name="S2_" localSheetId="0">#REF!</definedName>
    <definedName name="S2_">#REF!</definedName>
    <definedName name="S2__13" localSheetId="0">#REF!</definedName>
    <definedName name="S2__13">#REF!</definedName>
    <definedName name="S2__16" localSheetId="0">#REF!</definedName>
    <definedName name="S2__16">#REF!</definedName>
    <definedName name="S2__18" localSheetId="0">#REF!</definedName>
    <definedName name="S2__18">#REF!</definedName>
    <definedName name="S20_" localSheetId="0">#REF!</definedName>
    <definedName name="S20_">#REF!</definedName>
    <definedName name="S20__13" localSheetId="0">#REF!</definedName>
    <definedName name="S20__13">#REF!</definedName>
    <definedName name="S20__16" localSheetId="0">#REF!</definedName>
    <definedName name="S20__16">#REF!</definedName>
    <definedName name="S20__18" localSheetId="0">#REF!</definedName>
    <definedName name="S20__18">#REF!</definedName>
    <definedName name="S3_" localSheetId="0">#REF!</definedName>
    <definedName name="S3_">#REF!</definedName>
    <definedName name="S3__13" localSheetId="0">#REF!</definedName>
    <definedName name="S3__13">#REF!</definedName>
    <definedName name="S3__16" localSheetId="0">#REF!</definedName>
    <definedName name="S3__16">#REF!</definedName>
    <definedName name="S3__18" localSheetId="0">#REF!</definedName>
    <definedName name="S3__18">#REF!</definedName>
    <definedName name="s341_1" localSheetId="0">'[32]ЛСЦ начисленное на 31.12.08'!#REF!</definedName>
    <definedName name="s341_1">'[32]ЛСЦ начисленное на 31.12.08'!#REF!</definedName>
    <definedName name="s341_10" localSheetId="0">'[32]ЛСЦ начисленное на 31.12.08'!#REF!</definedName>
    <definedName name="s341_10">'[32]ЛСЦ начисленное на 31.12.08'!#REF!</definedName>
    <definedName name="s341_11" localSheetId="0">'[32]ЛСЦ начисленное на 31.12.08'!#REF!</definedName>
    <definedName name="s341_11">'[32]ЛСЦ начисленное на 31.12.08'!#REF!</definedName>
    <definedName name="s341_12" localSheetId="0">'[32]ЛСЦ начисленное на 31.12.08'!#REF!</definedName>
    <definedName name="s341_12">'[32]ЛСЦ начисленное на 31.12.08'!#REF!</definedName>
    <definedName name="s341_13" localSheetId="0">'[32]ЛСЦ начисленное на 31.12.08'!#REF!</definedName>
    <definedName name="s341_13">'[32]ЛСЦ начисленное на 31.12.08'!#REF!</definedName>
    <definedName name="s341_15" localSheetId="0">'[32]ЛСЦ начисленное на 31.12.08'!#REF!</definedName>
    <definedName name="s341_15">'[32]ЛСЦ начисленное на 31.12.08'!#REF!</definedName>
    <definedName name="s341_19" localSheetId="0">'[32]ЛСЦ начисленное на 31.12.08'!#REF!</definedName>
    <definedName name="s341_19">'[32]ЛСЦ начисленное на 31.12.08'!#REF!</definedName>
    <definedName name="s341_2" localSheetId="0">'[32]ЛСЦ начисленное на 31.12.08'!#REF!</definedName>
    <definedName name="s341_2">'[32]ЛСЦ начисленное на 31.12.08'!#REF!</definedName>
    <definedName name="s341_20" localSheetId="0">'[32]ЛСЦ начисленное на 31.12.08'!#REF!</definedName>
    <definedName name="s341_20">'[32]ЛСЦ начисленное на 31.12.08'!#REF!</definedName>
    <definedName name="s341_21" localSheetId="0">'[32]ЛСЦ начисленное на 31.12.08'!#REF!</definedName>
    <definedName name="s341_21">'[32]ЛСЦ начисленное на 31.12.08'!#REF!</definedName>
    <definedName name="s341_22" localSheetId="0">'[32]ЛСЦ начисленное на 31.12.08'!#REF!</definedName>
    <definedName name="s341_22">'[32]ЛСЦ начисленное на 31.12.08'!#REF!</definedName>
    <definedName name="s341_23" localSheetId="0">'[32]ЛСЦ начисленное на 31.12.08'!#REF!</definedName>
    <definedName name="s341_23">'[32]ЛСЦ начисленное на 31.12.08'!#REF!</definedName>
    <definedName name="s341_24" localSheetId="0">'[32]ЛСЦ начисленное на 31.12.08'!#REF!</definedName>
    <definedName name="s341_24">'[32]ЛСЦ начисленное на 31.12.08'!#REF!</definedName>
    <definedName name="s341_27" localSheetId="0">'[32]ЛСЦ начисленное на 31.12.08'!#REF!</definedName>
    <definedName name="s341_27">'[32]ЛСЦ начисленное на 31.12.08'!#REF!</definedName>
    <definedName name="s341_28" localSheetId="0">'[32]ЛСЦ начисленное на 31.12.08'!#REF!</definedName>
    <definedName name="s341_28">'[32]ЛСЦ начисленное на 31.12.08'!#REF!</definedName>
    <definedName name="s341_29" localSheetId="0">'[32]ЛСЦ начисленное на 31.12.08'!#REF!</definedName>
    <definedName name="s341_29">'[32]ЛСЦ начисленное на 31.12.08'!#REF!</definedName>
    <definedName name="s341_3" localSheetId="0">'[32]ЛСЦ начисленное на 31.12.08'!#REF!</definedName>
    <definedName name="s341_3">'[32]ЛСЦ начисленное на 31.12.08'!#REF!</definedName>
    <definedName name="s341_34" localSheetId="0">'[32]ЛСЦ начисленное на 31.12.08'!#REF!</definedName>
    <definedName name="s341_34">'[32]ЛСЦ начисленное на 31.12.08'!#REF!</definedName>
    <definedName name="s341_4" localSheetId="0">'[32]ЛСЦ начисленное на 31.12.08'!#REF!</definedName>
    <definedName name="s341_4">'[32]ЛСЦ начисленное на 31.12.08'!#REF!</definedName>
    <definedName name="s341_5" localSheetId="0">'[32]ЛСЦ начисленное на 31.12.08'!#REF!</definedName>
    <definedName name="s341_5">'[32]ЛСЦ начисленное на 31.12.08'!#REF!</definedName>
    <definedName name="s341_6" localSheetId="0">'[32]ЛСЦ начисленное на 31.12.08'!#REF!</definedName>
    <definedName name="s341_6">'[32]ЛСЦ начисленное на 31.12.08'!#REF!</definedName>
    <definedName name="s341_7" localSheetId="0">'[32]ЛСЦ начисленное на 31.12.08'!#REF!</definedName>
    <definedName name="s341_7">'[32]ЛСЦ начисленное на 31.12.08'!#REF!</definedName>
    <definedName name="s341_8" localSheetId="0">'[32]ЛСЦ начисленное на 31.12.08'!#REF!</definedName>
    <definedName name="s341_8">'[32]ЛСЦ начисленное на 31.12.08'!#REF!</definedName>
    <definedName name="s341_9" localSheetId="0">'[32]ЛСЦ начисленное на 31.12.08'!#REF!</definedName>
    <definedName name="s341_9">'[32]ЛСЦ начисленное на 31.12.08'!#REF!</definedName>
    <definedName name="S4_" localSheetId="0">#REF!</definedName>
    <definedName name="S4_">#REF!</definedName>
    <definedName name="S4__13" localSheetId="0">#REF!</definedName>
    <definedName name="S4__13">#REF!</definedName>
    <definedName name="S4__16" localSheetId="0">#REF!</definedName>
    <definedName name="S4__16">#REF!</definedName>
    <definedName name="S4__18" localSheetId="0">#REF!</definedName>
    <definedName name="S4__18">#REF!</definedName>
    <definedName name="S5_" localSheetId="0">#REF!</definedName>
    <definedName name="S5_">#REF!</definedName>
    <definedName name="S5__13" localSheetId="0">#REF!</definedName>
    <definedName name="S5__13">#REF!</definedName>
    <definedName name="S5__16" localSheetId="0">#REF!</definedName>
    <definedName name="S5__16">#REF!</definedName>
    <definedName name="S5__18" localSheetId="0">#REF!</definedName>
    <definedName name="S5__18">#REF!</definedName>
    <definedName name="S6_" localSheetId="0">#REF!</definedName>
    <definedName name="S6_">#REF!</definedName>
    <definedName name="S6__13" localSheetId="0">#REF!</definedName>
    <definedName name="S6__13">#REF!</definedName>
    <definedName name="S6__16" localSheetId="0">#REF!</definedName>
    <definedName name="S6__16">#REF!</definedName>
    <definedName name="S6__18" localSheetId="0">#REF!</definedName>
    <definedName name="S6__18">#REF!</definedName>
    <definedName name="S7_" localSheetId="0">#REF!</definedName>
    <definedName name="S7_">#REF!</definedName>
    <definedName name="S7__13" localSheetId="0">#REF!</definedName>
    <definedName name="S7__13">#REF!</definedName>
    <definedName name="S7__16" localSheetId="0">#REF!</definedName>
    <definedName name="S7__16">#REF!</definedName>
    <definedName name="S7__18" localSheetId="0">#REF!</definedName>
    <definedName name="S7__18">#REF!</definedName>
    <definedName name="S8_" localSheetId="0">#REF!</definedName>
    <definedName name="S8_">#REF!</definedName>
    <definedName name="S8__13" localSheetId="0">#REF!</definedName>
    <definedName name="S8__13">#REF!</definedName>
    <definedName name="S8__16" localSheetId="0">#REF!</definedName>
    <definedName name="S8__16">#REF!</definedName>
    <definedName name="S8__18" localSheetId="0">#REF!</definedName>
    <definedName name="S8__18">#REF!</definedName>
    <definedName name="S9_" localSheetId="0">#REF!</definedName>
    <definedName name="S9_">#REF!</definedName>
    <definedName name="S9__13" localSheetId="0">#REF!</definedName>
    <definedName name="S9__13">#REF!</definedName>
    <definedName name="S9__16" localSheetId="0">#REF!</definedName>
    <definedName name="S9__16">#REF!</definedName>
    <definedName name="S9__18" localSheetId="0">#REF!</definedName>
    <definedName name="S9__18">#REF!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d" localSheetId="0">#REF!</definedName>
    <definedName name="sd">#REF!</definedName>
    <definedName name="sfd" localSheetId="0">#REF!</definedName>
    <definedName name="sfd">#REF!</definedName>
    <definedName name="ShEquity" localSheetId="0">#REF!</definedName>
    <definedName name="ShEquity">#REF!</definedName>
    <definedName name="ShEquity1" localSheetId="0">#REF!</definedName>
    <definedName name="ShEquity1">#REF!</definedName>
    <definedName name="ss341_1" localSheetId="0">'[32]ЛСЦ начисленное на 31.12.08'!#REF!</definedName>
    <definedName name="ss341_1">'[32]ЛСЦ начисленное на 31.12.08'!#REF!</definedName>
    <definedName name="ss341_10" localSheetId="0">'[32]ЛСЦ начисленное на 31.12.08'!#REF!</definedName>
    <definedName name="ss341_10">'[32]ЛСЦ начисленное на 31.12.08'!#REF!</definedName>
    <definedName name="ss341_11" localSheetId="0">'[32]ЛСЦ начисленное на 31.12.08'!#REF!</definedName>
    <definedName name="ss341_11">'[32]ЛСЦ начисленное на 31.12.08'!#REF!</definedName>
    <definedName name="ss341_12" localSheetId="0">'[32]ЛСЦ начисленное на 31.12.08'!#REF!</definedName>
    <definedName name="ss341_12">'[32]ЛСЦ начисленное на 31.12.08'!#REF!</definedName>
    <definedName name="ss341_13" localSheetId="0">'[32]ЛСЦ начисленное на 31.12.08'!#REF!</definedName>
    <definedName name="ss341_13">'[32]ЛСЦ начисленное на 31.12.08'!#REF!</definedName>
    <definedName name="ss341_15" localSheetId="0">'[32]ЛСЦ начисленное на 31.12.08'!#REF!</definedName>
    <definedName name="ss341_15">'[32]ЛСЦ начисленное на 31.12.08'!#REF!</definedName>
    <definedName name="ss341_19" localSheetId="0">'[32]ЛСЦ начисленное на 31.12.08'!#REF!</definedName>
    <definedName name="ss341_19">'[32]ЛСЦ начисленное на 31.12.08'!#REF!</definedName>
    <definedName name="ss341_2" localSheetId="0">'[32]ЛСЦ начисленное на 31.12.08'!#REF!</definedName>
    <definedName name="ss341_2">'[32]ЛСЦ начисленное на 31.12.08'!#REF!</definedName>
    <definedName name="ss341_20" localSheetId="0">'[32]ЛСЦ начисленное на 31.12.08'!#REF!</definedName>
    <definedName name="ss341_20">'[32]ЛСЦ начисленное на 31.12.08'!#REF!</definedName>
    <definedName name="ss341_21" localSheetId="0">'[32]ЛСЦ начисленное на 31.12.08'!#REF!</definedName>
    <definedName name="ss341_21">'[32]ЛСЦ начисленное на 31.12.08'!#REF!</definedName>
    <definedName name="ss341_22" localSheetId="0">'[32]ЛСЦ начисленное на 31.12.08'!#REF!</definedName>
    <definedName name="ss341_22">'[32]ЛСЦ начисленное на 31.12.08'!#REF!</definedName>
    <definedName name="ss341_23" localSheetId="0">'[32]ЛСЦ начисленное на 31.12.08'!#REF!</definedName>
    <definedName name="ss341_23">'[32]ЛСЦ начисленное на 31.12.08'!#REF!</definedName>
    <definedName name="ss341_24" localSheetId="0">'[32]ЛСЦ начисленное на 31.12.08'!#REF!</definedName>
    <definedName name="ss341_24">'[32]ЛСЦ начисленное на 31.12.08'!#REF!</definedName>
    <definedName name="ss341_27" localSheetId="0">'[32]ЛСЦ начисленное на 31.12.08'!#REF!</definedName>
    <definedName name="ss341_27">'[32]ЛСЦ начисленное на 31.12.08'!#REF!</definedName>
    <definedName name="ss341_28" localSheetId="0">'[32]ЛСЦ начисленное на 31.12.08'!#REF!</definedName>
    <definedName name="ss341_28">'[32]ЛСЦ начисленное на 31.12.08'!#REF!</definedName>
    <definedName name="ss341_29" localSheetId="0">'[32]ЛСЦ начисленное на 31.12.08'!#REF!</definedName>
    <definedName name="ss341_29">'[32]ЛСЦ начисленное на 31.12.08'!#REF!</definedName>
    <definedName name="ss341_3" localSheetId="0">'[32]ЛСЦ начисленное на 31.12.08'!#REF!</definedName>
    <definedName name="ss341_3">'[32]ЛСЦ начисленное на 31.12.08'!#REF!</definedName>
    <definedName name="ss341_34" localSheetId="0">'[32]ЛСЦ начисленное на 31.12.08'!#REF!</definedName>
    <definedName name="ss341_34">'[32]ЛСЦ начисленное на 31.12.08'!#REF!</definedName>
    <definedName name="ss341_4" localSheetId="0">'[32]ЛСЦ начисленное на 31.12.08'!#REF!</definedName>
    <definedName name="ss341_4">'[32]ЛСЦ начисленное на 31.12.08'!#REF!</definedName>
    <definedName name="ss341_5" localSheetId="0">'[32]ЛСЦ начисленное на 31.12.08'!#REF!</definedName>
    <definedName name="ss341_5">'[32]ЛСЦ начисленное на 31.12.08'!#REF!</definedName>
    <definedName name="ss341_6" localSheetId="0">'[32]ЛСЦ начисленное на 31.12.08'!#REF!</definedName>
    <definedName name="ss341_6">'[32]ЛСЦ начисленное на 31.12.08'!#REF!</definedName>
    <definedName name="ss341_7" localSheetId="0">'[32]ЛСЦ начисленное на 31.12.08'!#REF!</definedName>
    <definedName name="ss341_7">'[32]ЛСЦ начисленное на 31.12.08'!#REF!</definedName>
    <definedName name="ss341_8" localSheetId="0">'[32]ЛСЦ начисленное на 31.12.08'!#REF!</definedName>
    <definedName name="ss341_8">'[32]ЛСЦ начисленное на 31.12.08'!#REF!</definedName>
    <definedName name="ss341_9" localSheetId="0">'[32]ЛСЦ начисленное на 31.12.08'!#REF!</definedName>
    <definedName name="ss341_9">'[32]ЛСЦ начисленное на 31.12.08'!#REF!</definedName>
    <definedName name="SyncrudeJV" localSheetId="0">#REF!</definedName>
    <definedName name="SyncrudeJV">#REF!</definedName>
    <definedName name="SyncrudeJV1" localSheetId="0">#REF!</definedName>
    <definedName name="SyncrudeJV1">#REF!</definedName>
    <definedName name="Tariff" localSheetId="0">[33]Capex!#REF!</definedName>
    <definedName name="Tariff">[33]Capex!#REF!</definedName>
    <definedName name="TB_AFTER_adjs" localSheetId="0">#REF!</definedName>
    <definedName name="TB_AFTER_adjs">#REF!</definedName>
    <definedName name="TB_before_adjs" localSheetId="0">#REF!</definedName>
    <definedName name="TB_before_adjs">#REF!</definedName>
    <definedName name="TEST0" localSheetId="0">#REF!</definedName>
    <definedName name="TEST0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extRefCopy1" localSheetId="0">#REF!</definedName>
    <definedName name="TextRefCopy1">#REF!</definedName>
    <definedName name="TextRefCopy10" localSheetId="0">'[34]GAAP TB 31.12.01  detail p&amp;l'!#REF!</definedName>
    <definedName name="TextRefCopy10">'[34]GAAP TB 31.12.01  detail p&amp;l'!#REF!</definedName>
    <definedName name="TextRefCopy100" localSheetId="0">#REF!</definedName>
    <definedName name="TextRefCopy100">#REF!</definedName>
    <definedName name="TextRefCopy101" localSheetId="0">'[35]FA Movement '!#REF!</definedName>
    <definedName name="TextRefCopy101">'[35]FA Movement '!#REF!</definedName>
    <definedName name="TextRefCopy102" localSheetId="0">#REF!</definedName>
    <definedName name="TextRefCopy102">#REF!</definedName>
    <definedName name="TextRefCopy103" localSheetId="0">#REF!</definedName>
    <definedName name="TextRefCopy103">#REF!</definedName>
    <definedName name="TextRefCopy104" localSheetId="0">#REF!</definedName>
    <definedName name="TextRefCopy104">#REF!</definedName>
    <definedName name="TextRefCopy105" localSheetId="0">#REF!</definedName>
    <definedName name="TextRefCopy105">#REF!</definedName>
    <definedName name="TextRefCopy106" localSheetId="0">#REF!</definedName>
    <definedName name="TextRefCopy106">#REF!</definedName>
    <definedName name="TextRefCopy107" localSheetId="0">#REF!</definedName>
    <definedName name="TextRefCopy107">#REF!</definedName>
    <definedName name="TextRefCopy108" localSheetId="0">#REF!</definedName>
    <definedName name="TextRefCopy108">#REF!</definedName>
    <definedName name="TextRefCopy109" localSheetId="0">#REF!</definedName>
    <definedName name="TextRefCopy109">#REF!</definedName>
    <definedName name="TextRefCopy11" localSheetId="0">#REF!</definedName>
    <definedName name="TextRefCopy11">#REF!</definedName>
    <definedName name="TextRefCopy111" localSheetId="0">#REF!</definedName>
    <definedName name="TextRefCopy111">#REF!</definedName>
    <definedName name="TextRefCopy112" localSheetId="0">'[36]Additions testing'!#REF!</definedName>
    <definedName name="TextRefCopy112">'[36]Additions testing'!#REF!</definedName>
    <definedName name="TextRefCopy113" localSheetId="0">[37]breakdown!#REF!</definedName>
    <definedName name="TextRefCopy113">[37]breakdown!#REF!</definedName>
    <definedName name="TextRefCopy114" localSheetId="0">#REF!</definedName>
    <definedName name="TextRefCopy114">#REF!</definedName>
    <definedName name="TextRefCopy115" localSheetId="0">#REF!</definedName>
    <definedName name="TextRefCopy115">#REF!</definedName>
    <definedName name="TextRefCopy116" localSheetId="0">#REF!</definedName>
    <definedName name="TextRefCopy116">#REF!</definedName>
    <definedName name="TextRefCopy117" localSheetId="0">'[36]Additions testing'!#REF!</definedName>
    <definedName name="TextRefCopy117">'[36]Additions testing'!#REF!</definedName>
    <definedName name="TextRefCopy118" localSheetId="0">#REF!</definedName>
    <definedName name="TextRefCopy118">#REF!</definedName>
    <definedName name="TextRefCopy119" localSheetId="0">#REF!</definedName>
    <definedName name="TextRefCopy119">#REF!</definedName>
    <definedName name="TextRefCopy12" localSheetId="0">'[34]GAAP TB 31.12.01  detail p&amp;l'!#REF!</definedName>
    <definedName name="TextRefCopy12">'[34]GAAP TB 31.12.01  detail p&amp;l'!#REF!</definedName>
    <definedName name="TextRefCopy120">'[38]P&amp;L'!$B$20</definedName>
    <definedName name="TextRefCopy126" localSheetId="0">'[36]Movement schedule'!#REF!</definedName>
    <definedName name="TextRefCopy126">'[36]Movement schedule'!#REF!</definedName>
    <definedName name="TextRefCopy127" localSheetId="0">'[32]ЛЛизинг начис. на 31.12.08'!#REF!</definedName>
    <definedName name="TextRefCopy127">'[32]ЛЛизинг начис. на 31.12.08'!#REF!</definedName>
    <definedName name="TextRefCopy128" localSheetId="0">'[24]7'!#REF!</definedName>
    <definedName name="TextRefCopy128">'[24]7'!#REF!</definedName>
    <definedName name="TextRefCopy13" localSheetId="0">'[34]GAAP TB 31.12.01  detail p&amp;l'!#REF!</definedName>
    <definedName name="TextRefCopy13">'[34]GAAP TB 31.12.01  detail p&amp;l'!#REF!</definedName>
    <definedName name="TextRefCopy132" localSheetId="0">'[24]7'!#REF!</definedName>
    <definedName name="TextRefCopy132">'[24]7'!#REF!</definedName>
    <definedName name="TextRefCopy133" localSheetId="0">'[36]Movement schedule'!#REF!</definedName>
    <definedName name="TextRefCopy133">'[36]Movement schedule'!#REF!</definedName>
    <definedName name="TextRefCopy134" localSheetId="0">'[32]ЛЛизинг начис. на 31.12.08'!#REF!</definedName>
    <definedName name="TextRefCopy134">'[32]ЛЛизинг начис. на 31.12.08'!#REF!</definedName>
    <definedName name="TextRefCopy135" localSheetId="0">'[24]7'!#REF!</definedName>
    <definedName name="TextRefCopy135">'[24]7'!#REF!</definedName>
    <definedName name="TextRefCopy137" localSheetId="0">'[24]7'!#REF!</definedName>
    <definedName name="TextRefCopy137">'[24]7'!#REF!</definedName>
    <definedName name="TextRefCopy139" localSheetId="0">'[24]7'!#REF!</definedName>
    <definedName name="TextRefCopy139">'[24]7'!#REF!</definedName>
    <definedName name="TextRefCopy14" localSheetId="0">'[34]GAAP TB 31.12.01  detail p&amp;l'!#REF!</definedName>
    <definedName name="TextRefCopy14">'[34]GAAP TB 31.12.01  detail p&amp;l'!#REF!</definedName>
    <definedName name="TextRefCopy140" localSheetId="0">'[24]7'!#REF!</definedName>
    <definedName name="TextRefCopy140">'[24]7'!#REF!</definedName>
    <definedName name="TextRefCopy141" localSheetId="0">'[24]7'!#REF!</definedName>
    <definedName name="TextRefCopy141">'[24]7'!#REF!</definedName>
    <definedName name="TextRefCopy143" localSheetId="0">'[32]ЛЛизинг начис. на 31.12.08'!#REF!</definedName>
    <definedName name="TextRefCopy143">'[32]ЛЛизинг начис. на 31.12.08'!#REF!</definedName>
    <definedName name="TextRefCopy144" localSheetId="0">'[32]ЛЛизинг начис. на 31.12.08'!#REF!</definedName>
    <definedName name="TextRefCopy144">'[32]ЛЛизинг начис. на 31.12.08'!#REF!</definedName>
    <definedName name="TextRefCopy146" localSheetId="0">#REF!</definedName>
    <definedName name="TextRefCopy146">#REF!</definedName>
    <definedName name="TextRefCopy148" localSheetId="0">'[24]7'!#REF!</definedName>
    <definedName name="TextRefCopy148">'[24]7'!#REF!</definedName>
    <definedName name="TextRefCopy149" localSheetId="0">'[24]7'!#REF!</definedName>
    <definedName name="TextRefCopy149">'[24]7'!#REF!</definedName>
    <definedName name="TextRefCopy15" localSheetId="0">'[34]GAAP TB 31.12.01  detail p&amp;l'!#REF!</definedName>
    <definedName name="TextRefCopy15">'[34]GAAP TB 31.12.01  detail p&amp;l'!#REF!</definedName>
    <definedName name="TextRefCopy150" localSheetId="0">'[24]7'!#REF!</definedName>
    <definedName name="TextRefCopy150">'[24]7'!#REF!</definedName>
    <definedName name="TextRefCopy151" localSheetId="0">'[24]7'!#REF!</definedName>
    <definedName name="TextRefCopy151">'[24]7'!#REF!</definedName>
    <definedName name="TextRefCopy153" localSheetId="0">'[24]7'!#REF!</definedName>
    <definedName name="TextRefCopy153">'[24]7'!#REF!</definedName>
    <definedName name="TextRefCopy154" localSheetId="0">#REF!</definedName>
    <definedName name="TextRefCopy154">#REF!</definedName>
    <definedName name="TextRefCopy155" localSheetId="0">'[24]7'!#REF!</definedName>
    <definedName name="TextRefCopy155">'[24]7'!#REF!</definedName>
    <definedName name="TextRefCopy16" localSheetId="0">#REF!</definedName>
    <definedName name="TextRefCopy16">#REF!</definedName>
    <definedName name="TextRefCopy160" localSheetId="0">#REF!</definedName>
    <definedName name="TextRefCopy160">#REF!</definedName>
    <definedName name="TextRefCopy161" localSheetId="0">#REF!</definedName>
    <definedName name="TextRefCopy161">#REF!</definedName>
    <definedName name="TextRefCopy162" localSheetId="0">#REF!</definedName>
    <definedName name="TextRefCopy162">#REF!</definedName>
    <definedName name="TextRefCopy163" localSheetId="0">#REF!</definedName>
    <definedName name="TextRefCopy163">#REF!</definedName>
    <definedName name="TextRefCopy164" localSheetId="0">#REF!</definedName>
    <definedName name="TextRefCopy164">#REF!</definedName>
    <definedName name="TextRefCopy165" localSheetId="0">#REF!</definedName>
    <definedName name="TextRefCopy165">#REF!</definedName>
    <definedName name="TextRefCopy167" localSheetId="0">#REF!</definedName>
    <definedName name="TextRefCopy167">#REF!</definedName>
    <definedName name="TextRefCopy169" localSheetId="0">#REF!</definedName>
    <definedName name="TextRefCopy169">#REF!</definedName>
    <definedName name="TextRefCopy17" localSheetId="0">#REF!</definedName>
    <definedName name="TextRefCopy17">#REF!</definedName>
    <definedName name="TextRefCopy171" localSheetId="0">#REF!</definedName>
    <definedName name="TextRefCopy171">#REF!</definedName>
    <definedName name="TextRefCopy173" localSheetId="0">#REF!</definedName>
    <definedName name="TextRefCopy173">#REF!</definedName>
    <definedName name="TextRefCopy174" localSheetId="0">#REF!</definedName>
    <definedName name="TextRefCopy174">#REF!</definedName>
    <definedName name="TextRefCopy175" localSheetId="0">#REF!</definedName>
    <definedName name="TextRefCopy175">#REF!</definedName>
    <definedName name="TextRefCopy177" localSheetId="0">#REF!</definedName>
    <definedName name="TextRefCopy177">#REF!</definedName>
    <definedName name="TextRefCopy178" localSheetId="0">#REF!</definedName>
    <definedName name="TextRefCopy178">#REF!</definedName>
    <definedName name="TextRefCopy18" localSheetId="0">'[34]GAAP TB 31.12.01  detail p&amp;l'!#REF!</definedName>
    <definedName name="TextRefCopy18">'[34]GAAP TB 31.12.01  detail p&amp;l'!#REF!</definedName>
    <definedName name="TextRefCopy180" localSheetId="0">#REF!</definedName>
    <definedName name="TextRefCopy180">#REF!</definedName>
    <definedName name="TextRefCopy181" localSheetId="0">#REF!</definedName>
    <definedName name="TextRefCopy181">#REF!</definedName>
    <definedName name="TextRefCopy183" localSheetId="0">#REF!</definedName>
    <definedName name="TextRefCopy183">#REF!</definedName>
    <definedName name="TextRefCopy186" localSheetId="0">#REF!</definedName>
    <definedName name="TextRefCopy186">#REF!</definedName>
    <definedName name="TextRefCopy188" localSheetId="0">#REF!</definedName>
    <definedName name="TextRefCopy188">#REF!</definedName>
    <definedName name="TextRefCopy19" localSheetId="0">'[34]GAAP TB 31.12.01  detail p&amp;l'!#REF!</definedName>
    <definedName name="TextRefCopy19">'[34]GAAP TB 31.12.01  detail p&amp;l'!#REF!</definedName>
    <definedName name="TextRefCopy190" localSheetId="0">#REF!</definedName>
    <definedName name="TextRefCopy190">#REF!</definedName>
    <definedName name="TextRefCopy192" localSheetId="0">#REF!</definedName>
    <definedName name="TextRefCopy192">#REF!</definedName>
    <definedName name="TextRefCopy193" localSheetId="0">#REF!</definedName>
    <definedName name="TextRefCopy193">#REF!</definedName>
    <definedName name="TextRefCopy195" localSheetId="0">#REF!</definedName>
    <definedName name="TextRefCopy195">#REF!</definedName>
    <definedName name="TextRefCopy198" localSheetId="0">#REF!</definedName>
    <definedName name="TextRefCopy198">#REF!</definedName>
    <definedName name="TextRefCopy2" localSheetId="0">#REF!</definedName>
    <definedName name="TextRefCopy2">#REF!</definedName>
    <definedName name="TextRefCopy20" localSheetId="0">'[34]GAAP TB 31.12.01  detail p&amp;l'!#REF!</definedName>
    <definedName name="TextRefCopy20">'[34]GAAP TB 31.12.01  detail p&amp;l'!#REF!</definedName>
    <definedName name="TextRefCopy21" localSheetId="0">'[35]FA Movement '!#REF!</definedName>
    <definedName name="TextRefCopy21">'[35]FA Movement '!#REF!</definedName>
    <definedName name="TextRefCopy22" localSheetId="0">'[35]FA Movement '!#REF!</definedName>
    <definedName name="TextRefCopy22">'[35]FA Movement '!#REF!</definedName>
    <definedName name="TextRefCopy23" localSheetId="0">'[35]FA Movement '!#REF!</definedName>
    <definedName name="TextRefCopy23">'[35]FA Movement '!#REF!</definedName>
    <definedName name="TextRefCopy238" localSheetId="0">'[24]10'!#REF!</definedName>
    <definedName name="TextRefCopy238">'[24]10'!#REF!</definedName>
    <definedName name="TextRefCopy24" localSheetId="0">'[39]9-1'!#REF!</definedName>
    <definedName name="TextRefCopy24">'[39]9-1'!#REF!</definedName>
    <definedName name="TextRefCopy25" localSheetId="0">'[35]FA Movement '!#REF!</definedName>
    <definedName name="TextRefCopy25">'[35]FA Movement '!#REF!</definedName>
    <definedName name="TextRefCopy26" localSheetId="0">'[35]FA Movement '!#REF!</definedName>
    <definedName name="TextRefCopy26">'[35]FA Movement '!#REF!</definedName>
    <definedName name="TextRefCopy27" localSheetId="0">'[35]FA Movement '!#REF!</definedName>
    <definedName name="TextRefCopy27">'[35]FA Movement '!#REF!</definedName>
    <definedName name="TextRefCopy274" localSheetId="0">'[24]10'!#REF!</definedName>
    <definedName name="TextRefCopy274">'[24]10'!#REF!</definedName>
    <definedName name="TextRefCopy275" localSheetId="0">#REF!</definedName>
    <definedName name="TextRefCopy275">#REF!</definedName>
    <definedName name="TextRefCopy276" localSheetId="0">'[24]10'!#REF!</definedName>
    <definedName name="TextRefCopy276">'[24]10'!#REF!</definedName>
    <definedName name="TextRefCopy277" localSheetId="0">#REF!</definedName>
    <definedName name="TextRefCopy277">#REF!</definedName>
    <definedName name="TextRefCopy278" localSheetId="0">'[24]10'!#REF!</definedName>
    <definedName name="TextRefCopy278">'[24]10'!#REF!</definedName>
    <definedName name="TextRefCopy28" localSheetId="0">#REF!</definedName>
    <definedName name="TextRefCopy28">#REF!</definedName>
    <definedName name="TextRefCopy280" localSheetId="0">#REF!</definedName>
    <definedName name="TextRefCopy280">#REF!</definedName>
    <definedName name="TextRefCopy281" localSheetId="0">'[24]10'!#REF!</definedName>
    <definedName name="TextRefCopy281">'[24]10'!#REF!</definedName>
    <definedName name="TextRefCopy282" localSheetId="0">'[24]10'!#REF!</definedName>
    <definedName name="TextRefCopy282">'[24]10'!#REF!</definedName>
    <definedName name="TextRefCopy283" localSheetId="0">'[24]10'!#REF!</definedName>
    <definedName name="TextRefCopy283">'[24]10'!#REF!</definedName>
    <definedName name="TextRefCopy284" localSheetId="0">'[24]10'!#REF!</definedName>
    <definedName name="TextRefCopy284">'[24]10'!#REF!</definedName>
    <definedName name="TextRefCopy285" localSheetId="0">'[24]10'!#REF!</definedName>
    <definedName name="TextRefCopy285">'[24]10'!#REF!</definedName>
    <definedName name="TextRefCopy29" localSheetId="0">'[39]9-1'!#REF!</definedName>
    <definedName name="TextRefCopy29">'[39]9-1'!#REF!</definedName>
    <definedName name="TextRefCopy3" localSheetId="0">'[40]Собственный капитал'!#REF!</definedName>
    <definedName name="TextRefCopy3">'[40]Собственный капитал'!#REF!</definedName>
    <definedName name="TextRefCopy30" localSheetId="0">'[24]7'!#REF!</definedName>
    <definedName name="TextRefCopy30">'[24]7'!#REF!</definedName>
    <definedName name="TextRefCopy307" localSheetId="0">'[24]10'!#REF!</definedName>
    <definedName name="TextRefCopy307">'[24]10'!#REF!</definedName>
    <definedName name="TextRefCopy309" localSheetId="0">'[24]10'!#REF!</definedName>
    <definedName name="TextRefCopy309">'[24]10'!#REF!</definedName>
    <definedName name="TextRefCopy31" localSheetId="0">'[35]FA Movement '!#REF!</definedName>
    <definedName name="TextRefCopy31">'[35]FA Movement '!#REF!</definedName>
    <definedName name="TextRefCopy310" localSheetId="0">'[24]10'!#REF!</definedName>
    <definedName name="TextRefCopy310">'[24]10'!#REF!</definedName>
    <definedName name="TextRefCopy312" localSheetId="0">'[24]10'!#REF!</definedName>
    <definedName name="TextRefCopy312">'[24]10'!#REF!</definedName>
    <definedName name="TextRefCopy32" localSheetId="0">'[35]FA Movement '!#REF!</definedName>
    <definedName name="TextRefCopy32">'[35]FA Movement '!#REF!</definedName>
    <definedName name="TextRefCopy33" localSheetId="0">'[35]FA Movement '!#REF!</definedName>
    <definedName name="TextRefCopy33">'[35]FA Movement '!#REF!</definedName>
    <definedName name="TextRefCopy34" localSheetId="0">#REF!</definedName>
    <definedName name="TextRefCopy34">#REF!</definedName>
    <definedName name="TextRefCopy35" localSheetId="0">'[35]FA Movement '!#REF!</definedName>
    <definedName name="TextRefCopy35">'[35]FA Movement '!#REF!</definedName>
    <definedName name="TextRefCopy36" localSheetId="0">#REF!</definedName>
    <definedName name="TextRefCopy36">#REF!</definedName>
    <definedName name="TextRefCopy37" localSheetId="0">'[35]FA Movement '!#REF!</definedName>
    <definedName name="TextRefCopy37">'[35]FA Movement '!#REF!</definedName>
    <definedName name="TextRefCopy38" localSheetId="0">'[35]FA Movement '!#REF!</definedName>
    <definedName name="TextRefCopy38">'[35]FA Movement '!#REF!</definedName>
    <definedName name="TextRefCopy39" localSheetId="0">'[35]FA Movement '!#REF!</definedName>
    <definedName name="TextRefCopy39">'[35]FA Movement '!#REF!</definedName>
    <definedName name="TextRefCopy4" localSheetId="0">'[34]GAAP TB 31.12.01  detail p&amp;l'!#REF!</definedName>
    <definedName name="TextRefCopy4">'[34]GAAP TB 31.12.01  detail p&amp;l'!#REF!</definedName>
    <definedName name="TextRefCopy40" localSheetId="0">'[35]FA Movement '!#REF!</definedName>
    <definedName name="TextRefCopy40">'[35]FA Movement '!#REF!</definedName>
    <definedName name="TextRefCopy41" localSheetId="0">#REF!</definedName>
    <definedName name="TextRefCopy41">#REF!</definedName>
    <definedName name="TextRefCopy42" localSheetId="0">#REF!</definedName>
    <definedName name="TextRefCopy42">#REF!</definedName>
    <definedName name="TextRefCopy43" localSheetId="0">#REF!</definedName>
    <definedName name="TextRefCopy43">#REF!</definedName>
    <definedName name="TextRefCopy44" localSheetId="0">#REF!</definedName>
    <definedName name="TextRefCopy44">#REF!</definedName>
    <definedName name="TextRefCopy45" localSheetId="0">#REF!</definedName>
    <definedName name="TextRefCopy45">#REF!</definedName>
    <definedName name="TextRefCopy46" localSheetId="0">'[35]FA Movement '!#REF!</definedName>
    <definedName name="TextRefCopy46">'[35]FA Movement '!#REF!</definedName>
    <definedName name="TextRefCopy47" localSheetId="0">#REF!</definedName>
    <definedName name="TextRefCopy47">#REF!</definedName>
    <definedName name="TextRefCopy48">[38]Provisions!$B$6</definedName>
    <definedName name="TextRefCopy49" localSheetId="0">#REF!</definedName>
    <definedName name="TextRefCopy49">#REF!</definedName>
    <definedName name="TextRefCopy5" localSheetId="0">'[40]Собственный капитал'!#REF!</definedName>
    <definedName name="TextRefCopy5">'[40]Собственный капитал'!#REF!</definedName>
    <definedName name="TextRefCopy50" localSheetId="0">[37]breakdown!#REF!</definedName>
    <definedName name="TextRefCopy50">[37]breakdown!#REF!</definedName>
    <definedName name="TextRefCopy51" localSheetId="0">[37]breakdown!#REF!</definedName>
    <definedName name="TextRefCopy51">[37]breakdown!#REF!</definedName>
    <definedName name="TextRefCopy53" localSheetId="0">'[37]FA depreciation'!#REF!</definedName>
    <definedName name="TextRefCopy53">'[37]FA depreciation'!#REF!</definedName>
    <definedName name="TextRefCopy54" localSheetId="0">#REF!</definedName>
    <definedName name="TextRefCopy54">#REF!</definedName>
    <definedName name="TextRefCopy55" localSheetId="0">#REF!</definedName>
    <definedName name="TextRefCopy55">#REF!</definedName>
    <definedName name="TextRefCopy56" localSheetId="0">#REF!</definedName>
    <definedName name="TextRefCopy56">#REF!</definedName>
    <definedName name="TextRefCopy57" localSheetId="0">#REF!</definedName>
    <definedName name="TextRefCopy57">#REF!</definedName>
    <definedName name="TextRefCopy58" localSheetId="0">#REF!</definedName>
    <definedName name="TextRefCopy58">#REF!</definedName>
    <definedName name="TextRefCopy59" localSheetId="0">#REF!</definedName>
    <definedName name="TextRefCopy59">#REF!</definedName>
    <definedName name="TextRefCopy6" localSheetId="0">'[34]GAAP TB 31.12.01  detail p&amp;l'!#REF!</definedName>
    <definedName name="TextRefCopy6">'[34]GAAP TB 31.12.01  detail p&amp;l'!#REF!</definedName>
    <definedName name="TextRefCopy60" localSheetId="0">#REF!</definedName>
    <definedName name="TextRefCopy60">#REF!</definedName>
    <definedName name="TextRefCopy61" localSheetId="0">#REF!</definedName>
    <definedName name="TextRefCopy61">#REF!</definedName>
    <definedName name="TextRefCopy62" localSheetId="0">#REF!</definedName>
    <definedName name="TextRefCopy62">#REF!</definedName>
    <definedName name="TextRefCopy63">'[41]PP&amp;E mvt for 2003'!$R$18</definedName>
    <definedName name="TextRefCopy64" localSheetId="0">#REF!</definedName>
    <definedName name="TextRefCopy64">#REF!</definedName>
    <definedName name="TextRefCopy65" localSheetId="0">#REF!</definedName>
    <definedName name="TextRefCopy65">#REF!</definedName>
    <definedName name="TextRefCopy66" localSheetId="0">#REF!</definedName>
    <definedName name="TextRefCopy66">#REF!</definedName>
    <definedName name="TextRefCopy67" localSheetId="0">#REF!</definedName>
    <definedName name="TextRefCopy67">#REF!</definedName>
    <definedName name="TextRefCopy68" localSheetId="0">#REF!</definedName>
    <definedName name="TextRefCopy68">#REF!</definedName>
    <definedName name="TextRefCopy69" localSheetId="0">#REF!</definedName>
    <definedName name="TextRefCopy69">#REF!</definedName>
    <definedName name="TextRefCopy7" localSheetId="0">'[34]GAAP TB 31.12.01  detail p&amp;l'!#REF!</definedName>
    <definedName name="TextRefCopy7">'[34]GAAP TB 31.12.01  detail p&amp;l'!#REF!</definedName>
    <definedName name="TextRefCopy70" localSheetId="0">#REF!</definedName>
    <definedName name="TextRefCopy70">#REF!</definedName>
    <definedName name="TextRefCopy71" localSheetId="0">#REF!</definedName>
    <definedName name="TextRefCopy71">#REF!</definedName>
    <definedName name="TextRefCopy74" localSheetId="0">[37]breakdown!#REF!</definedName>
    <definedName name="TextRefCopy74">[37]breakdown!#REF!</definedName>
    <definedName name="TextRefCopy75" localSheetId="0">#REF!</definedName>
    <definedName name="TextRefCopy75">#REF!</definedName>
    <definedName name="TextRefCopy76" localSheetId="0">[42]Movements!#REF!</definedName>
    <definedName name="TextRefCopy76">[42]Movements!#REF!</definedName>
    <definedName name="TextRefCopy77" localSheetId="0">#REF!</definedName>
    <definedName name="TextRefCopy77">#REF!</definedName>
    <definedName name="TextRefCopy78" localSheetId="0">#REF!</definedName>
    <definedName name="TextRefCopy78">#REF!</definedName>
    <definedName name="TextRefCopy79" localSheetId="0">#REF!</definedName>
    <definedName name="TextRefCopy79">#REF!</definedName>
    <definedName name="TextRefCopy8" localSheetId="0">'[34]GAAP TB 31.12.01  detail p&amp;l'!#REF!</definedName>
    <definedName name="TextRefCopy8">'[34]GAAP TB 31.12.01  detail p&amp;l'!#REF!</definedName>
    <definedName name="TextRefCopy80">[43]Datasheet!$G$16</definedName>
    <definedName name="TextRefCopy81" localSheetId="0">#REF!</definedName>
    <definedName name="TextRefCopy81">#REF!</definedName>
    <definedName name="TextRefCopy82" localSheetId="0">#REF!</definedName>
    <definedName name="TextRefCopy82">#REF!</definedName>
    <definedName name="TextRefCopy83" localSheetId="0">#REF!</definedName>
    <definedName name="TextRefCopy83">#REF!</definedName>
    <definedName name="TextRefCopy85" localSheetId="0">#REF!</definedName>
    <definedName name="TextRefCopy85">#REF!</definedName>
    <definedName name="TextRefCopy86" localSheetId="0">#REF!</definedName>
    <definedName name="TextRefCopy86">#REF!</definedName>
    <definedName name="TextRefCopy87" localSheetId="0">#REF!</definedName>
    <definedName name="TextRefCopy87">#REF!</definedName>
    <definedName name="TextRefCopy88">'[41]PP&amp;E mvt for 2003'!$P$19</definedName>
    <definedName name="TextRefCopy89">'[41]PP&amp;E mvt for 2003'!$P$46</definedName>
    <definedName name="TextRefCopy9" localSheetId="0">'[34]GAAP TB 31.12.01  detail p&amp;l'!#REF!</definedName>
    <definedName name="TextRefCopy9">'[34]GAAP TB 31.12.01  detail p&amp;l'!#REF!</definedName>
    <definedName name="TextRefCopy90">'[41]PP&amp;E mvt for 2003'!$P$25</definedName>
    <definedName name="TextRefCopy91" localSheetId="0">'[36]depreciation testing'!#REF!</definedName>
    <definedName name="TextRefCopy91">'[36]depreciation testing'!#REF!</definedName>
    <definedName name="TextRefCopy92">'[41]PP&amp;E mvt for 2003'!$P$26</definedName>
    <definedName name="TextRefCopy93" localSheetId="0">'[36]depreciation testing'!#REF!</definedName>
    <definedName name="TextRefCopy93">'[36]depreciation testing'!#REF!</definedName>
    <definedName name="TextRefCopy94">'[41]PP&amp;E mvt for 2003'!$P$52</definedName>
    <definedName name="TextRefCopy95">'[41]PP&amp;E mvt for 2003'!$P$53</definedName>
    <definedName name="TextRefCopy97" localSheetId="0">'[35]depreciation testing'!#REF!</definedName>
    <definedName name="TextRefCopy97">'[35]depreciation testing'!#REF!</definedName>
    <definedName name="TextRefCopy98" localSheetId="0">#REF!</definedName>
    <definedName name="TextRefCopy98">#REF!</definedName>
    <definedName name="TextRefCopy99" localSheetId="0">'[35]FA Movement '!#REF!</definedName>
    <definedName name="TextRefCopy99">'[35]FA Movement '!#REF!</definedName>
    <definedName name="TextRefCopyRangeCount" hidden="1">3</definedName>
    <definedName name="Threshold" localSheetId="0">#REF!</definedName>
    <definedName name="Threshold">#REF!</definedName>
    <definedName name="Total_Interest" localSheetId="0">#REF!</definedName>
    <definedName name="Total_Interest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tt" localSheetId="0">'[26]GAAP TB 30.09.01  detail p&amp;l'!#REF!</definedName>
    <definedName name="ttt">'[26]GAAP TB 30.09.01  detail p&amp;l'!#REF!</definedName>
    <definedName name="UnitedStates" localSheetId="0">#REF!</definedName>
    <definedName name="UnitedStates">#REF!</definedName>
    <definedName name="usd_date" localSheetId="0">#REF!</definedName>
    <definedName name="usd_date">#REF!</definedName>
    <definedName name="v" localSheetId="0">#REF!</definedName>
    <definedName name="v">#REF!</definedName>
    <definedName name="values" localSheetId="0">#REF!,#REF!,#REF!</definedName>
    <definedName name="values">#REF!,#REF!,#REF!</definedName>
    <definedName name="Values_Entered" localSheetId="0">IF('дек18 (факт)'!Loan_Amount*'дек18 (факт)'!Interest_Rate*'дек18 (факт)'!Loan_Years*'дек18 (факт)'!Loan_Start&gt;0,1,0)</definedName>
    <definedName name="Values_Entered">IF(Loan_Amount*Interest_Rate*Loan_Years*Loan_Start&gt;0,1,0)</definedName>
    <definedName name="VAT" localSheetId="0">[33]Capex!#REF!</definedName>
    <definedName name="VAT">[33]Capex!#REF!</definedName>
    <definedName name="wrn.4._.п." localSheetId="0" hidden="1">{#N/A,#N/A,FALSE,"Sheet5";#N/A,#N/A,FALSE,"Sheet3";#N/A,#N/A,FALSE,"Sheet4";#N/A,#N/A,FALSE,"Sheet1"}</definedName>
    <definedName name="wrn.4._.п." hidden="1">{#N/A,#N/A,FALSE,"Sheet5";#N/A,#N/A,FALSE,"Sheet3";#N/A,#N/A,FALSE,"Sheet4";#N/A,#N/A,FALSE,"Sheet1"}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kumkol." localSheetId="0" hidden="1">{#N/A,#N/A,FALSE,"Сентябрь";#N/A,#N/A,FALSE,"Пояснительная сентябре 99"}</definedName>
    <definedName name="wrn.kumkol." hidden="1">{#N/A,#N/A,FALSE,"Сентябрь";#N/A,#N/A,FALSE,"Пояснительная сентябре 99"}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rn.станд." localSheetId="0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x">'[44]Balance Sheet'!$F$5</definedName>
    <definedName name="XREF_COLUMN_1" hidden="1">'[45]8180 (8181,8182)'!$P$1:$P$65536</definedName>
    <definedName name="XREF_COLUMN_10" hidden="1">'[45]8082'!$P$1:$P$65536</definedName>
    <definedName name="XREF_COLUMN_2" localSheetId="0" hidden="1">#REF!</definedName>
    <definedName name="XREF_COLUMN_2" hidden="1">#REF!</definedName>
    <definedName name="XREF_COLUMN_3" hidden="1">'[45]8250'!$D$1:$D$65536</definedName>
    <definedName name="XREF_COLUMN_4" hidden="1">'[45]8140'!$P$1:$P$65536</definedName>
    <definedName name="XREF_COLUMN_5" localSheetId="0" hidden="1">#REF!</definedName>
    <definedName name="XREF_COLUMN_5" hidden="1">#REF!</definedName>
    <definedName name="XREF_COLUMN_6" hidden="1">'[45]8070'!$P$1:$P$65536</definedName>
    <definedName name="XREF_COLUMN_7" hidden="1">'[45]8145'!$P$1:$P$65536</definedName>
    <definedName name="XREF_COLUMN_8" hidden="1">'[45]8200'!$P$1:$P$65536</definedName>
    <definedName name="XREF_COLUMN_9" hidden="1">'[45]8113'!$P$1:$P$65536</definedName>
    <definedName name="XRefActiveRow" hidden="1">[45]XREF!$A$15</definedName>
    <definedName name="XRefColumnsCount" hidden="1">1</definedName>
    <definedName name="XRefCopy1" localSheetId="0" hidden="1">[46]summary!#REF!</definedName>
    <definedName name="XRefCopy1" hidden="1">[46]summary!#REF!</definedName>
    <definedName name="XRefCopy12" localSheetId="0" hidden="1">'[39]4'!#REF!</definedName>
    <definedName name="XRefCopy12" hidden="1">'[39]4'!#REF!</definedName>
    <definedName name="XRefCopy13" localSheetId="0" hidden="1">'[39]4'!#REF!</definedName>
    <definedName name="XRefCopy13" hidden="1">'[39]4'!#REF!</definedName>
    <definedName name="XRefCopy14" localSheetId="0" hidden="1">'[39]4'!#REF!</definedName>
    <definedName name="XRefCopy14" hidden="1">'[39]4'!#REF!</definedName>
    <definedName name="XRefCopy16" localSheetId="0" hidden="1">'[39]4'!#REF!</definedName>
    <definedName name="XRefCopy16" hidden="1">'[39]4'!#REF!</definedName>
    <definedName name="XRefCopy17" localSheetId="0" hidden="1">'[39]4'!#REF!</definedName>
    <definedName name="XRefCopy17" hidden="1">'[39]4'!#REF!</definedName>
    <definedName name="XRefCopy18" localSheetId="0" hidden="1">'[39]4'!#REF!</definedName>
    <definedName name="XRefCopy18" hidden="1">'[39]4'!#REF!</definedName>
    <definedName name="XRefCopy1Row" localSheetId="0" hidden="1">[46]XREF!#REF!</definedName>
    <definedName name="XRefCopy1Row" hidden="1">[46]XREF!#REF!</definedName>
    <definedName name="XRefCopy2" localSheetId="0" hidden="1">#REF!</definedName>
    <definedName name="XRefCopy2" hidden="1">#REF!</definedName>
    <definedName name="XRefCopy20Row" localSheetId="0" hidden="1">[11]XREF!#REF!</definedName>
    <definedName name="XRefCopy20Row" hidden="1">[11]XREF!#REF!</definedName>
    <definedName name="XRefCopy21Row" localSheetId="0" hidden="1">[11]XREF!#REF!</definedName>
    <definedName name="XRefCopy21Row" hidden="1">[11]XREF!#REF!</definedName>
    <definedName name="XRefCopy22Row" localSheetId="0" hidden="1">[11]XREF!#REF!</definedName>
    <definedName name="XRefCopy22Row" hidden="1">[11]XREF!#REF!</definedName>
    <definedName name="XRefCopy23Row" localSheetId="0" hidden="1">[11]XREF!#REF!</definedName>
    <definedName name="XRefCopy23Row" hidden="1">[11]XREF!#REF!</definedName>
    <definedName name="XRefCopy24Row" localSheetId="0" hidden="1">[11]XREF!#REF!</definedName>
    <definedName name="XRefCopy24Row" hidden="1">[11]XREF!#REF!</definedName>
    <definedName name="XRefCopy26Row" localSheetId="0" hidden="1">[11]XREF!#REF!</definedName>
    <definedName name="XRefCopy26Row" hidden="1">[11]XREF!#REF!</definedName>
    <definedName name="XRefCopy27Row" localSheetId="0" hidden="1">[11]XREF!#REF!</definedName>
    <definedName name="XRefCopy27Row" hidden="1">[11]XREF!#REF!</definedName>
    <definedName name="XRefCopy28Row" localSheetId="0" hidden="1">[11]XREF!#REF!</definedName>
    <definedName name="XRefCopy28Row" hidden="1">[11]XREF!#REF!</definedName>
    <definedName name="XRefCopy29Row" localSheetId="0" hidden="1">[11]XREF!#REF!</definedName>
    <definedName name="XRefCopy29Row" hidden="1">[11]XREF!#REF!</definedName>
    <definedName name="XRefCopy2Row" localSheetId="0" hidden="1">#REF!</definedName>
    <definedName name="XRefCopy2Row" hidden="1">#REF!</definedName>
    <definedName name="XRefCopy30Row" localSheetId="0" hidden="1">[11]XREF!#REF!</definedName>
    <definedName name="XRefCopy30Row" hidden="1">[11]XREF!#REF!</definedName>
    <definedName name="XRefCopy31Row" localSheetId="0" hidden="1">[11]XREF!#REF!</definedName>
    <definedName name="XRefCopy31Row" hidden="1">[11]XREF!#REF!</definedName>
    <definedName name="XRefCopy32Row" localSheetId="0" hidden="1">[11]XREF!#REF!</definedName>
    <definedName name="XRefCopy32Row" hidden="1">[11]XREF!#REF!</definedName>
    <definedName name="XRefCopy33Row" localSheetId="0" hidden="1">[11]XREF!#REF!</definedName>
    <definedName name="XRefCopy33Row" hidden="1">[11]XREF!#REF!</definedName>
    <definedName name="XRefCopy35Row" localSheetId="0" hidden="1">[11]XREF!#REF!</definedName>
    <definedName name="XRefCopy35Row" hidden="1">[11]XREF!#REF!</definedName>
    <definedName name="XRefCopy36Row" localSheetId="0" hidden="1">[11]XREF!#REF!</definedName>
    <definedName name="XRefCopy36Row" hidden="1">[11]XREF!#REF!</definedName>
    <definedName name="XRefCopy37Row" localSheetId="0" hidden="1">[11]XREF!#REF!</definedName>
    <definedName name="XRefCopy37Row" hidden="1">[11]XREF!#REF!</definedName>
    <definedName name="XRefCopy38Row" localSheetId="0" hidden="1">[11]XREF!#REF!</definedName>
    <definedName name="XRefCopy38Row" hidden="1">[11]XREF!#REF!</definedName>
    <definedName name="XRefCopy39Row" localSheetId="0" hidden="1">[11]XREF!#REF!</definedName>
    <definedName name="XRefCopy39Row" hidden="1">[11]XREF!#REF!</definedName>
    <definedName name="XRefCopy4" localSheetId="0" hidden="1">[46]summary!#REF!</definedName>
    <definedName name="XRefCopy4" hidden="1">[46]summary!#REF!</definedName>
    <definedName name="XRefCopy40Row" localSheetId="0" hidden="1">[11]XREF!#REF!</definedName>
    <definedName name="XRefCopy40Row" hidden="1">[11]XREF!#REF!</definedName>
    <definedName name="XRefCopy41Row" localSheetId="0" hidden="1">[11]XREF!#REF!</definedName>
    <definedName name="XRefCopy41Row" hidden="1">[11]XREF!#REF!</definedName>
    <definedName name="XRefCopy42Row" localSheetId="0" hidden="1">[11]XREF!#REF!</definedName>
    <definedName name="XRefCopy42Row" hidden="1">[11]XREF!#REF!</definedName>
    <definedName name="XRefCopy5Row" localSheetId="0" hidden="1">[47]XREF!#REF!</definedName>
    <definedName name="XRefCopy5Row" hidden="1">[47]XREF!#REF!</definedName>
    <definedName name="XRefCopy80Row" localSheetId="0" hidden="1">[11]XREF!#REF!</definedName>
    <definedName name="XRefCopy80Row" hidden="1">[11]XREF!#REF!</definedName>
    <definedName name="XRefCopyRangeCount" hidden="1">8</definedName>
    <definedName name="XRefPaste1" localSheetId="0" hidden="1">'[39]1-1'!#REF!</definedName>
    <definedName name="XRefPaste1" hidden="1">'[39]1-1'!#REF!</definedName>
    <definedName name="XRefPaste10" hidden="1">'[45]8145'!$O$17</definedName>
    <definedName name="XRefPaste10Row" hidden="1">[45]XREF!$A$11:$IV$11</definedName>
    <definedName name="XRefPaste11" hidden="1">'[45]8200'!$O$17</definedName>
    <definedName name="XRefPaste11Row" hidden="1">[45]XREF!$A$12:$IV$12</definedName>
    <definedName name="XRefPaste12" hidden="1">'[45]8113'!$O$16</definedName>
    <definedName name="XRefPaste12Row" hidden="1">[45]XREF!$A$13:$IV$13</definedName>
    <definedName name="XRefPaste13" hidden="1">'[45]8082'!$O$16</definedName>
    <definedName name="XRefPaste13Row" hidden="1">[45]XREF!$A$14:$IV$14</definedName>
    <definedName name="XRefPaste18" localSheetId="0" hidden="1">'[39]4'!#REF!</definedName>
    <definedName name="XRefPaste18" hidden="1">'[39]4'!#REF!</definedName>
    <definedName name="XRefPaste1Row" localSheetId="0" hidden="1">#REF!</definedName>
    <definedName name="XRefPaste1Row" hidden="1">#REF!</definedName>
    <definedName name="XRefPaste2" localSheetId="0" hidden="1">'[39]1'!#REF!</definedName>
    <definedName name="XRefPaste2" hidden="1">'[39]1'!#REF!</definedName>
    <definedName name="XRefPaste21Row" localSheetId="0" hidden="1">[11]XREF!#REF!</definedName>
    <definedName name="XRefPaste21Row" hidden="1">[11]XREF!#REF!</definedName>
    <definedName name="XRefPaste22Row" localSheetId="0" hidden="1">[11]XREF!#REF!</definedName>
    <definedName name="XRefPaste22Row" hidden="1">[11]XREF!#REF!</definedName>
    <definedName name="XRefPaste23Row" localSheetId="0" hidden="1">[11]XREF!#REF!</definedName>
    <definedName name="XRefPaste23Row" hidden="1">[11]XREF!#REF!</definedName>
    <definedName name="XRefPaste24Row" localSheetId="0" hidden="1">[11]XREF!#REF!</definedName>
    <definedName name="XRefPaste24Row" hidden="1">[11]XREF!#REF!</definedName>
    <definedName name="XRefPaste25Row" localSheetId="0" hidden="1">[11]XREF!#REF!</definedName>
    <definedName name="XRefPaste25Row" hidden="1">[11]XREF!#REF!</definedName>
    <definedName name="XRefPaste26Row" localSheetId="0" hidden="1">[11]XREF!#REF!</definedName>
    <definedName name="XRefPaste26Row" hidden="1">[11]XREF!#REF!</definedName>
    <definedName name="XRefPaste27Row" localSheetId="0" hidden="1">[11]XREF!#REF!</definedName>
    <definedName name="XRefPaste27Row" hidden="1">[11]XREF!#REF!</definedName>
    <definedName name="XRefPaste28Row" localSheetId="0" hidden="1">[11]XREF!#REF!</definedName>
    <definedName name="XRefPaste28Row" hidden="1">[11]XREF!#REF!</definedName>
    <definedName name="XRefPaste29Row" localSheetId="0" hidden="1">[11]XREF!#REF!</definedName>
    <definedName name="XRefPaste29Row" hidden="1">[11]XREF!#REF!</definedName>
    <definedName name="XRefPaste2Row" hidden="1">[45]XREF!$A$3:$IV$3</definedName>
    <definedName name="XRefPaste3" hidden="1">'[45]8180 (8181,8182)'!$O$20</definedName>
    <definedName name="XRefPaste30Row" localSheetId="0" hidden="1">[11]XREF!#REF!</definedName>
    <definedName name="XRefPaste30Row" hidden="1">[11]XREF!#REF!</definedName>
    <definedName name="XRefPaste31Row" localSheetId="0" hidden="1">[11]XREF!#REF!</definedName>
    <definedName name="XRefPaste31Row" hidden="1">[11]XREF!#REF!</definedName>
    <definedName name="XRefPaste32Row" localSheetId="0" hidden="1">[11]XREF!#REF!</definedName>
    <definedName name="XRefPaste32Row" hidden="1">[11]XREF!#REF!</definedName>
    <definedName name="XRefPaste33Row" localSheetId="0" hidden="1">[11]XREF!#REF!</definedName>
    <definedName name="XRefPaste33Row" hidden="1">[11]XREF!#REF!</definedName>
    <definedName name="XRefPaste34Row" localSheetId="0" hidden="1">[11]XREF!#REF!</definedName>
    <definedName name="XRefPaste34Row" hidden="1">[11]XREF!#REF!</definedName>
    <definedName name="XRefPaste35Row" localSheetId="0" hidden="1">[11]XREF!#REF!</definedName>
    <definedName name="XRefPaste35Row" hidden="1">[11]XREF!#REF!</definedName>
    <definedName name="XRefPaste36Row" localSheetId="0" hidden="1">[11]XREF!#REF!</definedName>
    <definedName name="XRefPaste36Row" hidden="1">[11]XREF!#REF!</definedName>
    <definedName name="XRefPaste37Row" localSheetId="0" hidden="1">[11]XREF!#REF!</definedName>
    <definedName name="XRefPaste37Row" hidden="1">[11]XREF!#REF!</definedName>
    <definedName name="XRefPaste38Row" localSheetId="0" hidden="1">[11]XREF!#REF!</definedName>
    <definedName name="XRefPaste38Row" hidden="1">[11]XREF!#REF!</definedName>
    <definedName name="XRefPaste39Row" localSheetId="0" hidden="1">[11]XREF!#REF!</definedName>
    <definedName name="XRefPaste39Row" hidden="1">[11]XREF!#REF!</definedName>
    <definedName name="XRefPaste3Row" hidden="1">[45]XREF!$A$4:$IV$4</definedName>
    <definedName name="XRefPaste4" hidden="1">'[45]8210'!$O$18</definedName>
    <definedName name="XRefPaste40Row" localSheetId="0" hidden="1">[11]XREF!#REF!</definedName>
    <definedName name="XRefPaste40Row" hidden="1">[11]XREF!#REF!</definedName>
    <definedName name="XRefPaste41Row" localSheetId="0" hidden="1">[11]XREF!#REF!</definedName>
    <definedName name="XRefPaste41Row" hidden="1">[11]XREF!#REF!</definedName>
    <definedName name="XRefPaste42Row" localSheetId="0" hidden="1">[11]XREF!#REF!</definedName>
    <definedName name="XRefPaste42Row" hidden="1">[11]XREF!#REF!</definedName>
    <definedName name="XRefPaste43Row" localSheetId="0" hidden="1">[11]XREF!#REF!</definedName>
    <definedName name="XRefPaste43Row" hidden="1">[11]XREF!#REF!</definedName>
    <definedName name="XRefPaste44Row" localSheetId="0" hidden="1">[11]XREF!#REF!</definedName>
    <definedName name="XRefPaste44Row" hidden="1">[11]XREF!#REF!</definedName>
    <definedName name="XRefPaste45Row" localSheetId="0" hidden="1">[11]XREF!#REF!</definedName>
    <definedName name="XRefPaste45Row" hidden="1">[11]XREF!#REF!</definedName>
    <definedName name="XRefPaste46Row" localSheetId="0" hidden="1">[11]XREF!#REF!</definedName>
    <definedName name="XRefPaste46Row" hidden="1">[11]XREF!#REF!</definedName>
    <definedName name="XRefPaste47Row" localSheetId="0" hidden="1">[11]XREF!#REF!</definedName>
    <definedName name="XRefPaste47Row" hidden="1">[11]XREF!#REF!</definedName>
    <definedName name="XRefPaste48Row" localSheetId="0" hidden="1">[11]XREF!#REF!</definedName>
    <definedName name="XRefPaste48Row" hidden="1">[11]XREF!#REF!</definedName>
    <definedName name="XRefPaste49Row" localSheetId="0" hidden="1">[11]XREF!#REF!</definedName>
    <definedName name="XRefPaste49Row" hidden="1">[11]XREF!#REF!</definedName>
    <definedName name="XRefPaste4Row" hidden="1">[45]XREF!$A$5:$IV$5</definedName>
    <definedName name="XRefPaste5" hidden="1">'[45]8250'!$C$44</definedName>
    <definedName name="XRefPaste50Row" localSheetId="0" hidden="1">[11]XREF!#REF!</definedName>
    <definedName name="XRefPaste50Row" hidden="1">[11]XREF!#REF!</definedName>
    <definedName name="XRefPaste51Row" localSheetId="0" hidden="1">[11]XREF!#REF!</definedName>
    <definedName name="XRefPaste51Row" hidden="1">[11]XREF!#REF!</definedName>
    <definedName name="XRefPaste5Row" hidden="1">[45]XREF!$A$6:$IV$6</definedName>
    <definedName name="XRefPaste6" hidden="1">'[45]8140'!$O$16</definedName>
    <definedName name="XRefPaste6Row" hidden="1">[45]XREF!$A$7:$IV$7</definedName>
    <definedName name="XRefPaste7" localSheetId="0" hidden="1">#REF!</definedName>
    <definedName name="XRefPaste7" hidden="1">#REF!</definedName>
    <definedName name="XRefPaste7Row" hidden="1">[45]XREF!$A$8:$IV$8</definedName>
    <definedName name="XRefPaste8" localSheetId="0" hidden="1">#REF!</definedName>
    <definedName name="XRefPaste8" hidden="1">#REF!</definedName>
    <definedName name="XRefPaste8Row" hidden="1">[45]XREF!$A$9:$IV$9</definedName>
    <definedName name="XRefPaste9" hidden="1">'[45]8070'!$O$18</definedName>
    <definedName name="XRefPaste9Row" hidden="1">[45]XREF!$A$10:$IV$10</definedName>
    <definedName name="XRefPasteRangeCount" hidden="1">1</definedName>
    <definedName name="year" localSheetId="0">#REF!</definedName>
    <definedName name="year">#REF!</definedName>
    <definedName name="Yemen" localSheetId="0">#REF!</definedName>
    <definedName name="Yemen">#REF!</definedName>
    <definedName name="Yemen1" localSheetId="0">#REF!</definedName>
    <definedName name="Yemen1">#REF!</definedName>
    <definedName name="yui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Z_C37E65A7_9893_435E_9759_72E0D8A5DD87_.wvu.PrintTitles" localSheetId="0" hidden="1">#REF!</definedName>
    <definedName name="Z_C37E65A7_9893_435E_9759_72E0D8A5DD87_.wvu.PrintTitles" hidden="1">#REF!</definedName>
    <definedName name="zheldor" localSheetId="0">#REF!</definedName>
    <definedName name="zheldor">#REF!</definedName>
    <definedName name="zheldorizdat" localSheetId="0">#REF!</definedName>
    <definedName name="zheldorizdat">#REF!</definedName>
    <definedName name="а" localSheetId="0">#REF!</definedName>
    <definedName name="а">#REF!</definedName>
    <definedName name="А2" localSheetId="0">#REF!</definedName>
    <definedName name="А2">#REF!</definedName>
    <definedName name="А2_13" localSheetId="0">#REF!</definedName>
    <definedName name="А2_13">#REF!</definedName>
    <definedName name="А2_16" localSheetId="0">#REF!</definedName>
    <definedName name="А2_16">#REF!</definedName>
    <definedName name="А2_17" localSheetId="0">#REF!</definedName>
    <definedName name="А2_17">#REF!</definedName>
    <definedName name="А2_18" localSheetId="0">#REF!</definedName>
    <definedName name="А2_18">#REF!</definedName>
    <definedName name="а25000" localSheetId="0">#REF!</definedName>
    <definedName name="а25000">#REF!</definedName>
    <definedName name="АААААААА" localSheetId="0">[10]!АААААААА</definedName>
    <definedName name="АААААААА">[10]!АААААААА</definedName>
    <definedName name="АААААААА_11" localSheetId="0">'дек18 (факт)'!АААААААА_11</definedName>
    <definedName name="АААААААА_11">#N/A</definedName>
    <definedName name="АААААААА_12" localSheetId="0">'дек18 (факт)'!АААААААА_12</definedName>
    <definedName name="АААААААА_12">#N/A</definedName>
    <definedName name="АААААААА_13" localSheetId="0">'дек18 (факт)'!АААААААА_13</definedName>
    <definedName name="АААААААА_13">#N/A</definedName>
    <definedName name="АААААААА_14" localSheetId="0">'дек18 (факт)'!АААААААА_14</definedName>
    <definedName name="АААААААА_14">#N/A</definedName>
    <definedName name="АААААААА_16" localSheetId="0">'дек18 (факт)'!АААААААА_16</definedName>
    <definedName name="АААААААА_16">#N/A</definedName>
    <definedName name="АААААААА_17" localSheetId="0">'дек18 (факт)'!АААААААА_17</definedName>
    <definedName name="АААААААА_17">#N/A</definedName>
    <definedName name="АААААААА_18" localSheetId="0">'дек18 (факт)'!АААААААА_18</definedName>
    <definedName name="АААААААА_18">#N/A</definedName>
    <definedName name="АААААААА_19" localSheetId="0">'дек18 (факт)'!АААААААА_19</definedName>
    <definedName name="АААААААА_19">#N/A</definedName>
    <definedName name="авпрар" localSheetId="0">#REF!</definedName>
    <definedName name="авпрар">#REF!</definedName>
    <definedName name="альфа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м" localSheetId="0">[10]!ам</definedName>
    <definedName name="ам">[10]!ам</definedName>
    <definedName name="андрей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п" localSheetId="0">[10]!ап</definedName>
    <definedName name="ап">[10]!ап</definedName>
    <definedName name="ап_11" localSheetId="0">'дек18 (факт)'!ап_11</definedName>
    <definedName name="ап_11">#N/A</definedName>
    <definedName name="ап_12" localSheetId="0">'дек18 (факт)'!ап_12</definedName>
    <definedName name="ап_12">#N/A</definedName>
    <definedName name="ап_13" localSheetId="0">'дек18 (факт)'!ап_13</definedName>
    <definedName name="ап_13">#N/A</definedName>
    <definedName name="ап_14" localSheetId="0">'дек18 (факт)'!ап_14</definedName>
    <definedName name="ап_14">#N/A</definedName>
    <definedName name="ап_16" localSheetId="0">'дек18 (факт)'!ап_16</definedName>
    <definedName name="ап_16">#N/A</definedName>
    <definedName name="ап_17" localSheetId="0">'дек18 (факт)'!ап_17</definedName>
    <definedName name="ап_17">#N/A</definedName>
    <definedName name="ап_18" localSheetId="0">'дек18 (факт)'!ап_18</definedName>
    <definedName name="ап_18">#N/A</definedName>
    <definedName name="ап_19" localSheetId="0">'дек18 (факт)'!ап_19</definedName>
    <definedName name="ап_19">#N/A</definedName>
    <definedName name="апа">#N/A</definedName>
    <definedName name="апвавваапвваав" localSheetId="0" hidden="1">{#N/A,#N/A,TRUE,"Лист1";#N/A,#N/A,TRUE,"Лист2";#N/A,#N/A,TRUE,"Лист3"}</definedName>
    <definedName name="апвавваапвваав" hidden="1">{#N/A,#N/A,TRUE,"Лист1";#N/A,#N/A,TRUE,"Лист2";#N/A,#N/A,TRUE,"Лист3"}</definedName>
    <definedName name="апвп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апп" localSheetId="0">[10]!апп</definedName>
    <definedName name="апп">[10]!апп</definedName>
    <definedName name="аристон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с" localSheetId="0">[10]!ас</definedName>
    <definedName name="ас">[10]!ас</definedName>
    <definedName name="_xlnm.Database" localSheetId="0">#REF!</definedName>
    <definedName name="_xlnm.Database">#REF!</definedName>
    <definedName name="баланс" localSheetId="0">[10]!баланс</definedName>
    <definedName name="баланс">[10]!баланс</definedName>
    <definedName name="Бери">[48]Форма2!$D$129:$F$132,[48]Форма2!$D$134:$F$135,[48]Форма2!$D$137:$F$140,[48]Форма2!$D$142:$F$144,[48]Форма2!$D$146:$F$150,[48]Форма2!$D$152:$F$154,[48]Форма2!$D$156:$F$162,[48]Форма2!$D$129</definedName>
    <definedName name="Берик">[48]Форма2!$C$70:$C$72,[48]Форма2!$D$73:$F$73,[48]Форма2!$E$70:$F$72,[48]Форма2!$C$75:$C$77,[48]Форма2!$E$75:$F$77,[48]Форма2!$C$79:$C$82,[48]Форма2!$E$79:$F$82,[48]Форма2!$C$84:$C$86,[48]Форма2!$E$84:$F$86,[48]Форма2!$C$88:$C$89,[48]Форма2!$E$88:$F$89,[48]Форма2!$C$70</definedName>
    <definedName name="биржа">[49]База!$A$1:$T$65536</definedName>
    <definedName name="биржа1">[49]База!$B$1:$T$65536</definedName>
    <definedName name="БЛРаздел1">[50]Форма2!$C$19:$C$24,[50]Форма2!$E$19:$F$24,[50]Форма2!$D$26:$F$31,[50]Форма2!$C$33:$C$38,[50]Форма2!$E$33:$F$38,[50]Форма2!$D$40:$F$43,[50]Форма2!$C$45:$C$48,[50]Форма2!$E$45:$F$48,[50]Форма2!$C$19</definedName>
    <definedName name="БЛРаздел1_13">[51]Форма2!$C$19:$C$24,[51]Форма2!$E$19:$F$24,[51]Форма2!$D$26:$F$31,[51]Форма2!$C$33:$C$38,[51]Форма2!$E$33:$F$38,[51]Форма2!$D$40:$F$43,[51]Форма2!$C$45:$C$48,[51]Форма2!$E$45:$F$48,[51]Форма2!$C$19</definedName>
    <definedName name="БЛРаздел1_16">[51]Форма2!$C$19:$C$24,[51]Форма2!$E$19:$F$24,[51]Форма2!$D$26:$F$31,[51]Форма2!$C$33:$C$38,[51]Форма2!$E$33:$F$38,[51]Форма2!$D$40:$F$43,[51]Форма2!$C$45:$C$48,[51]Форма2!$E$45:$F$48,[51]Форма2!$C$19</definedName>
    <definedName name="БЛРаздел1_17">[52]Форма2!$C$19:$C$24,[52]Форма2!$E$19:$F$24,[52]Форма2!$D$26:$F$31,[52]Форма2!$C$33:$C$38,[52]Форма2!$E$33:$F$38,[52]Форма2!$D$40:$F$43,[52]Форма2!$C$45:$C$48,[52]Форма2!$E$45:$F$48,[52]Форма2!$C$19</definedName>
    <definedName name="БЛРаздел1_18">[51]Форма2!$C$19:$C$24,[51]Форма2!$E$19:$F$24,[51]Форма2!$D$26:$F$31,[51]Форма2!$C$33:$C$38,[51]Форма2!$E$33:$F$38,[51]Форма2!$D$40:$F$43,[51]Форма2!$C$45:$C$48,[51]Форма2!$E$45:$F$48,[51]Форма2!$C$19</definedName>
    <definedName name="БЛРаздел2">[50]Форма2!$C$51:$C$58,[50]Форма2!$E$51:$F$58,[50]Форма2!$C$60:$C$63,[50]Форма2!$E$60:$F$63,[50]Форма2!$C$65:$C$67,[50]Форма2!$E$65:$F$67,[50]Форма2!$C$51</definedName>
    <definedName name="БЛРаздел2_13">[51]Форма2!$C$51:$C$58,[51]Форма2!$E$51:$F$58,[51]Форма2!$C$60:$C$63,[51]Форма2!$E$60:$F$63,[51]Форма2!$C$65:$C$67,[51]Форма2!$E$65:$F$67,[51]Форма2!$C$51</definedName>
    <definedName name="БЛРаздел2_16">[51]Форма2!$C$51:$C$58,[51]Форма2!$E$51:$F$58,[51]Форма2!$C$60:$C$63,[51]Форма2!$E$60:$F$63,[51]Форма2!$C$65:$C$67,[51]Форма2!$E$65:$F$67,[51]Форма2!$C$51</definedName>
    <definedName name="БЛРаздел2_17">[52]Форма2!$C$51:$C$58,[52]Форма2!$E$51:$F$58,[52]Форма2!$C$60:$C$63,[52]Форма2!$E$60:$F$63,[52]Форма2!$C$65:$C$67,[52]Форма2!$E$65:$F$67,[52]Форма2!$C$51</definedName>
    <definedName name="БЛРаздел2_18">[51]Форма2!$C$51:$C$58,[51]Форма2!$E$51:$F$58,[51]Форма2!$C$60:$C$63,[51]Форма2!$E$60:$F$63,[51]Форма2!$C$65:$C$67,[51]Форма2!$E$65:$F$67,[51]Форма2!$C$51</definedName>
    <definedName name="БЛРаздел3">[50]Форма2!$C$70:$C$72,[50]Форма2!$D$73:$F$73,[50]Форма2!$E$70:$F$72,[50]Форма2!$C$75:$C$77,[50]Форма2!$E$75:$F$77,[50]Форма2!$C$79:$C$82,[50]Форма2!$E$79:$F$82,[50]Форма2!$C$84:$C$86,[50]Форма2!$E$84:$F$86,[50]Форма2!$C$88:$C$89,[50]Форма2!$E$88:$F$89,[50]Форма2!$C$70</definedName>
    <definedName name="БЛРаздел3_13">[51]Форма2!$C$70:$C$72,[51]Форма2!$D$73:$F$73,[51]Форма2!$E$70:$F$72,[51]Форма2!$C$75:$C$77,[51]Форма2!$E$75:$F$77,[51]Форма2!$C$79:$C$82,[51]Форма2!$E$79:$F$82,[51]Форма2!$C$84:$C$86,[51]Форма2!$E$84:$F$86,[51]Форма2!$C$88:$C$89,[51]Форма2!$E$88:$F$89,[51]Форма2!$C$70</definedName>
    <definedName name="БЛРаздел3_16">[51]Форма2!$C$70:$C$72,[51]Форма2!$D$73:$F$73,[51]Форма2!$E$70:$F$72,[51]Форма2!$C$75:$C$77,[51]Форма2!$E$75:$F$77,[51]Форма2!$C$79:$C$82,[51]Форма2!$E$79:$F$82,[51]Форма2!$C$84:$C$86,[51]Форма2!$E$84:$F$86,[51]Форма2!$C$88:$C$89,[51]Форма2!$E$88:$F$89,[51]Форма2!$C$70</definedName>
    <definedName name="БЛРаздел3_17">[52]Форма2!$C$70:$C$72,[52]Форма2!$D$73:$F$73,[52]Форма2!$E$70:$F$72,[52]Форма2!$C$75:$C$77,[52]Форма2!$E$75:$F$77,[52]Форма2!$C$79:$C$82,[52]Форма2!$E$79:$F$82,[52]Форма2!$C$84:$C$86,[52]Форма2!$E$84:$F$86,[52]Форма2!$C$88:$C$89,[52]Форма2!$E$88:$F$89,[52]Форма2!$C$70</definedName>
    <definedName name="БЛРаздел3_18">[51]Форма2!$C$70:$C$72,[51]Форма2!$D$73:$F$73,[51]Форма2!$E$70:$F$72,[51]Форма2!$C$75:$C$77,[51]Форма2!$E$75:$F$77,[51]Форма2!$C$79:$C$82,[51]Форма2!$E$79:$F$82,[51]Форма2!$C$84:$C$86,[51]Форма2!$E$84:$F$86,[51]Форма2!$C$88:$C$89,[51]Форма2!$E$88:$F$89,[51]Форма2!$C$70</definedName>
    <definedName name="БЛРаздел4">[50]Форма2!$E$106:$F$107,[50]Форма2!$C$106:$C$107,[50]Форма2!$E$102:$F$104,[50]Форма2!$C$102:$C$104,[50]Форма2!$C$97:$C$100,[50]Форма2!$E$97:$F$100,[50]Форма2!$E$92:$F$95,[50]Форма2!$C$92:$C$95,[50]Форма2!$C$92</definedName>
    <definedName name="БЛРаздел4_13">[51]Форма2!$E$106:$F$107,[51]Форма2!$C$106:$C$107,[51]Форма2!$E$102:$F$104,[51]Форма2!$C$102:$C$104,[51]Форма2!$C$97:$C$100,[51]Форма2!$E$97:$F$100,[51]Форма2!$E$92:$F$95,[51]Форма2!$C$92:$C$95,[51]Форма2!$C$92</definedName>
    <definedName name="БЛРаздел4_16">[51]Форма2!$E$106:$F$107,[51]Форма2!$C$106:$C$107,[51]Форма2!$E$102:$F$104,[51]Форма2!$C$102:$C$104,[51]Форма2!$C$97:$C$100,[51]Форма2!$E$97:$F$100,[51]Форма2!$E$92:$F$95,[51]Форма2!$C$92:$C$95,[51]Форма2!$C$92</definedName>
    <definedName name="БЛРаздел4_17">[52]Форма2!$E$106:$F$107,[52]Форма2!$C$106:$C$107,[52]Форма2!$E$102:$F$104,[52]Форма2!$C$102:$C$104,[52]Форма2!$C$97:$C$100,[52]Форма2!$E$97:$F$100,[52]Форма2!$E$92:$F$95,[52]Форма2!$C$92:$C$95,[52]Форма2!$C$92</definedName>
    <definedName name="БЛРаздел4_18">[51]Форма2!$E$106:$F$107,[51]Форма2!$C$106:$C$107,[51]Форма2!$E$102:$F$104,[51]Форма2!$C$102:$C$104,[51]Форма2!$C$97:$C$100,[51]Форма2!$E$97:$F$100,[51]Форма2!$E$92:$F$95,[51]Форма2!$C$92:$C$95,[51]Форма2!$C$92</definedName>
    <definedName name="БЛРаздел5">[50]Форма2!$C$113:$C$114,[50]Форма2!$D$110:$F$112,[50]Форма2!$E$113:$F$114,[50]Форма2!$D$115:$F$115,[50]Форма2!$D$117:$F$119,[50]Форма2!$D$121:$F$122,[50]Форма2!$D$124:$F$126,[50]Форма2!$D$110</definedName>
    <definedName name="БЛРаздел5_13">[51]Форма2!$C$113:$C$114,[51]Форма2!$D$110:$F$112,[51]Форма2!$E$113:$F$114,[51]Форма2!$D$115:$F$115,[51]Форма2!$D$117:$F$119,[51]Форма2!$D$121:$F$122,[51]Форма2!$D$124:$F$126,[51]Форма2!$D$110</definedName>
    <definedName name="БЛРаздел5_16">[51]Форма2!$C$113:$C$114,[51]Форма2!$D$110:$F$112,[51]Форма2!$E$113:$F$114,[51]Форма2!$D$115:$F$115,[51]Форма2!$D$117:$F$119,[51]Форма2!$D$121:$F$122,[51]Форма2!$D$124:$F$126,[51]Форма2!$D$110</definedName>
    <definedName name="БЛРаздел5_17">[52]Форма2!$C$113:$C$114,[52]Форма2!$D$110:$F$112,[52]Форма2!$E$113:$F$114,[52]Форма2!$D$115:$F$115,[52]Форма2!$D$117:$F$119,[52]Форма2!$D$121:$F$122,[52]Форма2!$D$124:$F$126,[52]Форма2!$D$110</definedName>
    <definedName name="БЛРаздел5_18">[51]Форма2!$C$113:$C$114,[51]Форма2!$D$110:$F$112,[51]Форма2!$E$113:$F$114,[51]Форма2!$D$115:$F$115,[51]Форма2!$D$117:$F$119,[51]Форма2!$D$121:$F$122,[51]Форма2!$D$124:$F$126,[51]Форма2!$D$110</definedName>
    <definedName name="БЛРаздел6">[50]Форма2!$D$129:$F$132,[50]Форма2!$D$134:$F$135,[50]Форма2!$D$137:$F$140,[50]Форма2!$D$142:$F$144,[50]Форма2!$D$146:$F$150,[50]Форма2!$D$152:$F$154,[50]Форма2!$D$156:$F$162,[50]Форма2!$D$129</definedName>
    <definedName name="БЛРаздел6_13">[51]Форма2!$D$129:$F$132,[51]Форма2!$D$134:$F$135,[51]Форма2!$D$137:$F$140,[51]Форма2!$D$142:$F$144,[51]Форма2!$D$146:$F$150,[51]Форма2!$D$152:$F$154,[51]Форма2!$D$156:$F$162,[51]Форма2!$D$129</definedName>
    <definedName name="БЛРаздел6_16">[51]Форма2!$D$129:$F$132,[51]Форма2!$D$134:$F$135,[51]Форма2!$D$137:$F$140,[51]Форма2!$D$142:$F$144,[51]Форма2!$D$146:$F$150,[51]Форма2!$D$152:$F$154,[51]Форма2!$D$156:$F$162,[51]Форма2!$D$129</definedName>
    <definedName name="БЛРаздел6_17">[52]Форма2!$D$129:$F$132,[52]Форма2!$D$134:$F$135,[52]Форма2!$D$137:$F$140,[52]Форма2!$D$142:$F$144,[52]Форма2!$D$146:$F$150,[52]Форма2!$D$152:$F$154,[52]Форма2!$D$156:$F$162,[52]Форма2!$D$129</definedName>
    <definedName name="БЛРаздел6_18">[51]Форма2!$D$129:$F$132,[51]Форма2!$D$134:$F$135,[51]Форма2!$D$137:$F$140,[51]Форма2!$D$142:$F$144,[51]Форма2!$D$146:$F$150,[51]Форма2!$D$152:$F$154,[51]Форма2!$D$156:$F$162,[51]Форма2!$D$129</definedName>
    <definedName name="БЛРаздел7">[50]Форма2!$D$179:$F$185,[50]Форма2!$D$175:$F$177,[50]Форма2!$D$165:$F$173,[50]Форма2!$D$165</definedName>
    <definedName name="БЛРаздел7_13">[51]Форма2!$D$179:$F$185,[51]Форма2!$D$175:$F$177,[51]Форма2!$D$165:$F$173,[51]Форма2!$D$165</definedName>
    <definedName name="БЛРаздел7_16">[51]Форма2!$D$179:$F$185,[51]Форма2!$D$175:$F$177,[51]Форма2!$D$165:$F$173,[51]Форма2!$D$165</definedName>
    <definedName name="БЛРаздел7_17">[52]Форма2!$D$179:$F$185,[52]Форма2!$D$175:$F$177,[52]Форма2!$D$165:$F$173,[52]Форма2!$D$165</definedName>
    <definedName name="БЛРаздел7_18">[51]Форма2!$D$179:$F$185,[51]Форма2!$D$175:$F$177,[51]Форма2!$D$165:$F$173,[51]Форма2!$D$165</definedName>
    <definedName name="БЛРаздел8">[50]Форма2!$E$200:$F$207,[50]Форма2!$C$200:$C$207,[50]Форма2!$E$189:$F$198,[50]Форма2!$C$189:$C$198,[50]Форма2!$E$188:$F$188,[50]Форма2!$C$188</definedName>
    <definedName name="БЛРаздел8_13">[51]Форма2!$E$200:$F$207,[51]Форма2!$C$200:$C$207,[51]Форма2!$E$189:$F$198,[51]Форма2!$C$189:$C$198,[51]Форма2!$E$188:$F$188,[51]Форма2!$C$188</definedName>
    <definedName name="БЛРаздел8_16">[51]Форма2!$E$200:$F$207,[51]Форма2!$C$200:$C$207,[51]Форма2!$E$189:$F$198,[51]Форма2!$C$189:$C$198,[51]Форма2!$E$188:$F$188,[51]Форма2!$C$188</definedName>
    <definedName name="БЛРаздел8_17">[52]Форма2!$E$200:$F$207,[52]Форма2!$C$200:$C$207,[52]Форма2!$E$189:$F$198,[52]Форма2!$C$189:$C$198,[52]Форма2!$E$188:$F$188,[52]Форма2!$C$188</definedName>
    <definedName name="БЛРаздел8_18">[51]Форма2!$E$200:$F$207,[51]Форма2!$C$200:$C$207,[51]Форма2!$E$189:$F$198,[51]Форма2!$C$189:$C$198,[51]Форма2!$E$188:$F$188,[51]Форма2!$C$188</definedName>
    <definedName name="БЛРаздел9">[50]Форма2!$E$234:$F$237,[50]Форма2!$C$234:$C$237,[50]Форма2!$E$224:$F$232,[50]Форма2!$C$224:$C$232,[50]Форма2!$E$223:$F$223,[50]Форма2!$C$223,[50]Форма2!$E$217:$F$221,[50]Форма2!$C$217:$C$221,[50]Форма2!$E$210:$F$215,[50]Форма2!$C$210:$C$215,[50]Форма2!$C$210</definedName>
    <definedName name="БЛРаздел9_13">[51]Форма2!$E$234:$F$237,[51]Форма2!$C$234:$C$237,[51]Форма2!$E$224:$F$232,[51]Форма2!$C$224:$C$232,[51]Форма2!$E$223:$F$223,[51]Форма2!$C$223,[51]Форма2!$E$217:$F$221,[51]Форма2!$C$217:$C$221,[51]Форма2!$E$210:$F$215,[51]Форма2!$C$210:$C$215,[51]Форма2!$C$210</definedName>
    <definedName name="БЛРаздел9_16">[51]Форма2!$E$234:$F$237,[51]Форма2!$C$234:$C$237,[51]Форма2!$E$224:$F$232,[51]Форма2!$C$224:$C$232,[51]Форма2!$E$223:$F$223,[51]Форма2!$C$223,[51]Форма2!$E$217:$F$221,[51]Форма2!$C$217:$C$221,[51]Форма2!$E$210:$F$215,[51]Форма2!$C$210:$C$215,[51]Форма2!$C$210</definedName>
    <definedName name="БЛРаздел9_17">[52]Форма2!$E$234:$F$237,[52]Форма2!$C$234:$C$237,[52]Форма2!$E$224:$F$232,[52]Форма2!$C$224:$C$232,[52]Форма2!$E$223:$F$223,[52]Форма2!$C$223,[52]Форма2!$E$217:$F$221,[52]Форма2!$C$217:$C$221,[52]Форма2!$E$210:$F$215,[52]Форма2!$C$210:$C$215,[52]Форма2!$C$210</definedName>
    <definedName name="БЛРаздел9_18">[51]Форма2!$E$234:$F$237,[51]Форма2!$C$234:$C$237,[51]Форма2!$E$224:$F$232,[51]Форма2!$C$224:$C$232,[51]Форма2!$E$223:$F$223,[51]Форма2!$C$223,[51]Форма2!$E$217:$F$221,[51]Форма2!$C$217:$C$221,[51]Форма2!$E$210:$F$215,[51]Форма2!$C$210:$C$215,[51]Форма2!$C$210</definedName>
    <definedName name="БО5" localSheetId="0">[10]!БО5</definedName>
    <definedName name="БО5">[10]!БО5</definedName>
    <definedName name="БПДанные">[50]Форма1!$C$22:$D$33,[50]Форма1!$C$36:$D$48,[50]Форма1!$C$22</definedName>
    <definedName name="БПДанные_13">[51]Форма1!$C$22:$D$33,[51]Форма1!$C$36:$D$48,[51]Форма1!$C$22</definedName>
    <definedName name="БПДанные_16">[51]Форма1!$C$22:$D$33,[51]Форма1!$C$36:$D$48,[51]Форма1!$C$22</definedName>
    <definedName name="БПДанные_17">[52]Форма1!$C$22:$D$33,[52]Форма1!$C$36:$D$48,[52]Форма1!$C$22</definedName>
    <definedName name="БПДанные_18">[51]Форма1!$C$22:$D$33,[51]Форма1!$C$36:$D$48,[51]Форма1!$C$22</definedName>
    <definedName name="Бюджет__по__подразд__2003__года_Лист1_Таблица" localSheetId="0">[53]ОТиТБ!#REF!</definedName>
    <definedName name="Бюджет__по__подразд__2003__года_Лист1_Таблица">[53]ОТиТБ!#REF!</definedName>
    <definedName name="в" localSheetId="0">[10]!в</definedName>
    <definedName name="в">[10]!в</definedName>
    <definedName name="в23ё" localSheetId="0">[10]!в23ё</definedName>
    <definedName name="в23ё">[10]!в23ё</definedName>
    <definedName name="в23ё_11" localSheetId="0">'дек18 (факт)'!в23ё_11</definedName>
    <definedName name="в23ё_11">#N/A</definedName>
    <definedName name="в23ё_12" localSheetId="0">'дек18 (факт)'!в23ё_12</definedName>
    <definedName name="в23ё_12">#N/A</definedName>
    <definedName name="в23ё_13" localSheetId="0">'дек18 (факт)'!в23ё_13</definedName>
    <definedName name="в23ё_13">#N/A</definedName>
    <definedName name="в23ё_14" localSheetId="0">'дек18 (факт)'!в23ё_14</definedName>
    <definedName name="в23ё_14">#N/A</definedName>
    <definedName name="в23ё_16" localSheetId="0">'дек18 (факт)'!в23ё_16</definedName>
    <definedName name="в23ё_16">#N/A</definedName>
    <definedName name="в23ё_17" localSheetId="0">'дек18 (факт)'!в23ё_17</definedName>
    <definedName name="в23ё_17">#N/A</definedName>
    <definedName name="в23ё_18" localSheetId="0">'дек18 (факт)'!в23ё_18</definedName>
    <definedName name="в23ё_18">#N/A</definedName>
    <definedName name="в23ё_19" localSheetId="0">'дек18 (факт)'!в23ё_19</definedName>
    <definedName name="в23ё_19">#N/A</definedName>
    <definedName name="В32" localSheetId="0">#REF!</definedName>
    <definedName name="В32">#REF!</definedName>
    <definedName name="ВАЛЮТА">'[24]1'!$A$5</definedName>
    <definedName name="вапв" localSheetId="0" hidden="1">{#N/A,#N/A,TRUE,"Лист1";#N/A,#N/A,TRUE,"Лист2";#N/A,#N/A,TRUE,"Лист3"}</definedName>
    <definedName name="вапв" hidden="1">{#N/A,#N/A,TRUE,"Лист1";#N/A,#N/A,TRUE,"Лист2";#N/A,#N/A,TRUE,"Лист3"}</definedName>
    <definedName name="вар" localSheetId="0" hidden="1">{#N/A,#N/A,FALSE,"МТВ"}</definedName>
    <definedName name="вар" hidden="1">{#N/A,#N/A,FALSE,"МТВ"}</definedName>
    <definedName name="вариант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б" localSheetId="0">[54]Пр2!#REF!</definedName>
    <definedName name="вб">[54]Пр2!#REF!</definedName>
    <definedName name="вв" localSheetId="0">[10]!вв</definedName>
    <definedName name="вв">[10]!вв</definedName>
    <definedName name="вв_11" localSheetId="0">'дек18 (факт)'!вв_11</definedName>
    <definedName name="вв_11">#N/A</definedName>
    <definedName name="вв_12" localSheetId="0">'дек18 (факт)'!вв_12</definedName>
    <definedName name="вв_12">#N/A</definedName>
    <definedName name="вв_13" localSheetId="0">'дек18 (факт)'!вв_13</definedName>
    <definedName name="вв_13">#N/A</definedName>
    <definedName name="вв_14" localSheetId="0">'дек18 (факт)'!вв_14</definedName>
    <definedName name="вв_14">#N/A</definedName>
    <definedName name="вв_16" localSheetId="0">'дек18 (факт)'!вв_16</definedName>
    <definedName name="вв_16">#N/A</definedName>
    <definedName name="вв_17" localSheetId="0">'дек18 (факт)'!вв_17</definedName>
    <definedName name="вв_17">#N/A</definedName>
    <definedName name="вв_18" localSheetId="0">'дек18 (факт)'!вв_18</definedName>
    <definedName name="вв_18">#N/A</definedName>
    <definedName name="вв_19" localSheetId="0">'дек18 (факт)'!вв_19</definedName>
    <definedName name="вв_19">#N/A</definedName>
    <definedName name="версия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ор" localSheetId="0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торой" localSheetId="0">#REF!</definedName>
    <definedName name="второй">#REF!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гараж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араж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г" localSheetId="0">#REF!</definedName>
    <definedName name="гггг">#REF!</definedName>
    <definedName name="город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рафик_2" localSheetId="0">#REF!</definedName>
    <definedName name="график_2">#REF!</definedName>
    <definedName name="графики_Темиржолсу" localSheetId="0">#REF!</definedName>
    <definedName name="графики_Темиржолсу">#REF!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ульсум" localSheetId="0">[10]!гульсум</definedName>
    <definedName name="гульсум">[10]!гульсум</definedName>
    <definedName name="д" localSheetId="0">#REF!</definedName>
    <definedName name="д">#REF!</definedName>
    <definedName name="д1" localSheetId="0">#REF!</definedName>
    <definedName name="д1">#REF!</definedName>
    <definedName name="д2" localSheetId="0">#REF!</definedName>
    <definedName name="д2">#REF!</definedName>
    <definedName name="д3" localSheetId="0">#REF!</definedName>
    <definedName name="д3">#REF!</definedName>
    <definedName name="д4" localSheetId="0">#REF!</definedName>
    <definedName name="д4">#REF!</definedName>
    <definedName name="дата">'[24]Список документов'!$B$2</definedName>
    <definedName name="Дата_справки" localSheetId="0">#REF!</definedName>
    <definedName name="Дата_справки">#REF!</definedName>
    <definedName name="дебит">'[55]из сем'!$A$2:$B$362</definedName>
    <definedName name="дмтс" localSheetId="0">#REF!</definedName>
    <definedName name="дмтс">#REF!</definedName>
    <definedName name="Добыча">'[56]Добыча нефти4'!$F$11:$Q$12</definedName>
    <definedName name="Добыча_13">'[57]Добыча нефти4'!$F$11:$Q$12</definedName>
    <definedName name="Добыча_16">'[57]Добыча нефти4'!$F$11:$Q$12</definedName>
    <definedName name="Добыча_18">'[57]Добыча нефти4'!$F$11:$Q$12</definedName>
    <definedName name="Доз5" localSheetId="0">#REF!</definedName>
    <definedName name="Доз5">#REF!</definedName>
    <definedName name="Доз5_13" localSheetId="0">#REF!</definedName>
    <definedName name="Доз5_13">#REF!</definedName>
    <definedName name="Доз5_16" localSheetId="0">#REF!</definedName>
    <definedName name="Доз5_16">#REF!</definedName>
    <definedName name="Доз5_17" localSheetId="0">#REF!</definedName>
    <definedName name="Доз5_17">#REF!</definedName>
    <definedName name="Доз5_18" localSheetId="0">#REF!</definedName>
    <definedName name="Доз5_18">#REF!</definedName>
    <definedName name="доз6" localSheetId="0">#REF!</definedName>
    <definedName name="доз6">#REF!</definedName>
    <definedName name="дурак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е" localSheetId="0">[10]!е</definedName>
    <definedName name="е">[10]!е</definedName>
    <definedName name="ЕдИзм">[21]ЕдИзм!$A$1:$D$25</definedName>
    <definedName name="ЕдИзм_13">[23]ЕдИзм!$A$1:$D$25</definedName>
    <definedName name="ЕдИзм_16">[23]ЕдИзм!$A$1:$D$25</definedName>
    <definedName name="ЕдИзм_18">[23]ЕдИзм!$A$1:$D$25</definedName>
    <definedName name="ж" localSheetId="0">#REF!</definedName>
    <definedName name="ж">#REF!</definedName>
    <definedName name="_xlnm.Print_Titles" localSheetId="0">'дек18 (факт)'!$A:$D,'дек18 (факт)'!$4:$7</definedName>
    <definedName name="знач" localSheetId="0">[10]!знач</definedName>
    <definedName name="знач">[10]!знач</definedName>
    <definedName name="И" localSheetId="0">'[11]д.7.001'!#REF!</definedName>
    <definedName name="И">'[11]д.7.001'!#REF!</definedName>
    <definedName name="изменения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мпорт" localSheetId="0">#REF!</definedName>
    <definedName name="импорт">#REF!</definedName>
    <definedName name="импорт_13" localSheetId="0">#REF!</definedName>
    <definedName name="импорт_13">#REF!</definedName>
    <definedName name="импорт_16" localSheetId="0">#REF!</definedName>
    <definedName name="импорт_16">#REF!</definedName>
    <definedName name="импорт_18" localSheetId="0">#REF!</definedName>
    <definedName name="импорт_18">#REF!</definedName>
    <definedName name="имя" localSheetId="0">#REF!</definedName>
    <definedName name="имя">#REF!</definedName>
    <definedName name="индплан" localSheetId="0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а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й" localSheetId="0">[10]!й</definedName>
    <definedName name="й">[10]!й</definedName>
    <definedName name="й_11" localSheetId="0">'дек18 (факт)'!й_11</definedName>
    <definedName name="й_11">#N/A</definedName>
    <definedName name="й_12" localSheetId="0">'дек18 (факт)'!й_12</definedName>
    <definedName name="й_12">#N/A</definedName>
    <definedName name="й_13" localSheetId="0">'дек18 (факт)'!й_13</definedName>
    <definedName name="й_13">#N/A</definedName>
    <definedName name="й_14" localSheetId="0">'дек18 (факт)'!й_14</definedName>
    <definedName name="й_14">#N/A</definedName>
    <definedName name="й_16" localSheetId="0">'дек18 (факт)'!й_16</definedName>
    <definedName name="й_16">#N/A</definedName>
    <definedName name="й_17" localSheetId="0">'дек18 (факт)'!й_17</definedName>
    <definedName name="й_17">#N/A</definedName>
    <definedName name="й_18" localSheetId="0">'дек18 (факт)'!й_18</definedName>
    <definedName name="й_18">#N/A</definedName>
    <definedName name="й_19" localSheetId="0">'дек18 (факт)'!й_19</definedName>
    <definedName name="й_19">#N/A</definedName>
    <definedName name="йй" localSheetId="0">[10]!йй</definedName>
    <definedName name="йй">[10]!йй</definedName>
    <definedName name="йй_11" localSheetId="0">'дек18 (факт)'!йй_11</definedName>
    <definedName name="йй_11">#N/A</definedName>
    <definedName name="йй_12" localSheetId="0">'дек18 (факт)'!йй_12</definedName>
    <definedName name="йй_12">#N/A</definedName>
    <definedName name="йй_13" localSheetId="0">'дек18 (факт)'!йй_13</definedName>
    <definedName name="йй_13">#N/A</definedName>
    <definedName name="йй_14" localSheetId="0">'дек18 (факт)'!йй_14</definedName>
    <definedName name="йй_14">#N/A</definedName>
    <definedName name="йй_16" localSheetId="0">'дек18 (факт)'!йй_16</definedName>
    <definedName name="йй_16">#N/A</definedName>
    <definedName name="йй_17" localSheetId="0">'дек18 (факт)'!йй_17</definedName>
    <definedName name="йй_17">#N/A</definedName>
    <definedName name="йй_18" localSheetId="0">'дек18 (факт)'!йй_18</definedName>
    <definedName name="йй_18">#N/A</definedName>
    <definedName name="йй_19" localSheetId="0">'дек18 (факт)'!йй_19</definedName>
    <definedName name="йй_19">#N/A</definedName>
    <definedName name="Казтрансойл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ассовый" localSheetId="0">[10]!кассовый</definedName>
    <definedName name="кассовый">[10]!кассовый</definedName>
    <definedName name="ке" localSheetId="0">[10]!ке</definedName>
    <definedName name="ке">[10]!ке</definedName>
    <definedName name="ке_11" localSheetId="0">'дек18 (факт)'!ке_11</definedName>
    <definedName name="ке_11">#N/A</definedName>
    <definedName name="ке_12" localSheetId="0">'дек18 (факт)'!ке_12</definedName>
    <definedName name="ке_12">#N/A</definedName>
    <definedName name="ке_13" localSheetId="0">'дек18 (факт)'!ке_13</definedName>
    <definedName name="ке_13">#N/A</definedName>
    <definedName name="ке_14" localSheetId="0">'дек18 (факт)'!ке_14</definedName>
    <definedName name="ке_14">#N/A</definedName>
    <definedName name="ке_16" localSheetId="0">'дек18 (факт)'!ке_16</definedName>
    <definedName name="ке_16">#N/A</definedName>
    <definedName name="ке_17" localSheetId="0">'дек18 (факт)'!ке_17</definedName>
    <definedName name="ке_17">#N/A</definedName>
    <definedName name="ке_18" localSheetId="0">'дек18 (факт)'!ке_18</definedName>
    <definedName name="ке_18">#N/A</definedName>
    <definedName name="ке_19" localSheetId="0">'дек18 (факт)'!ке_19</definedName>
    <definedName name="ке_19">#N/A</definedName>
    <definedName name="Кегок2" localSheetId="0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кк" localSheetId="0" hidden="1">{#N/A,#N/A,TRUE,"Лист1";#N/A,#N/A,TRUE,"Лист2";#N/A,#N/A,TRUE,"Лист3"}</definedName>
    <definedName name="ккк" hidden="1">{#N/A,#N/A,TRUE,"Лист1";#N/A,#N/A,TRUE,"Лист2";#N/A,#N/A,TRUE,"Лист3"}</definedName>
    <definedName name="Консолидация" localSheetId="0">#REF!</definedName>
    <definedName name="Консолидация">#REF!</definedName>
    <definedName name="копия" localSheetId="0">[10]!копия</definedName>
    <definedName name="копия">[10]!копия</definedName>
    <definedName name="КТЖ" localSheetId="0">[10]!КТЖ</definedName>
    <definedName name="КТЖ">[10]!КТЖ</definedName>
    <definedName name="курс" localSheetId="0">#REF!</definedName>
    <definedName name="курс">#REF!</definedName>
    <definedName name="курс_2005" localSheetId="0">#REF!</definedName>
    <definedName name="курс_2005">#REF!</definedName>
    <definedName name="курс_2006" localSheetId="0">#REF!</definedName>
    <definedName name="курс_2006">#REF!</definedName>
    <definedName name="курс_2007" localSheetId="0">#REF!</definedName>
    <definedName name="курс_2007">#REF!</definedName>
    <definedName name="курс_2008" localSheetId="0">#REF!</definedName>
    <definedName name="курс_2008">#REF!</definedName>
    <definedName name="курс_2009" localSheetId="0">#REF!</definedName>
    <definedName name="курс_2009">#REF!</definedName>
    <definedName name="курс_2010" localSheetId="0">#REF!</definedName>
    <definedName name="курс_2010">#REF!</definedName>
    <definedName name="л" localSheetId="0">[10]!л</definedName>
    <definedName name="л">[10]!л</definedName>
    <definedName name="Ликвидация" localSheetId="0">#REF!</definedName>
    <definedName name="Ликвидация">#REF!</definedName>
    <definedName name="лист">#N/A</definedName>
    <definedName name="лист1" localSheetId="0">#REF!</definedName>
    <definedName name="лист1">#REF!</definedName>
    <definedName name="лист1_1">#N/A</definedName>
    <definedName name="лист2">#N/A</definedName>
    <definedName name="ллл" localSheetId="0">#REF!</definedName>
    <definedName name="ллл">#REF!</definedName>
    <definedName name="Макрос1" localSheetId="0">[10]!Макрос1</definedName>
    <definedName name="Макрос1">[10]!Макрос1</definedName>
    <definedName name="Макрос2" localSheetId="0">#REF!</definedName>
    <definedName name="Макрос2">#REF!</definedName>
    <definedName name="Макрос3" localSheetId="0">#REF!</definedName>
    <definedName name="Макрос3">#REF!</definedName>
    <definedName name="Макрос4" localSheetId="0">#REF!</definedName>
    <definedName name="Макрос4">#REF!</definedName>
    <definedName name="мбр" localSheetId="0">[54]Пр2!#REF!</definedName>
    <definedName name="мбр">[54]Пр2!#REF!</definedName>
    <definedName name="мес" localSheetId="0" hidden="1">{#N/A,#N/A,TRUE,"Лист1";#N/A,#N/A,TRUE,"Лист2";#N/A,#N/A,TRUE,"Лист3"}</definedName>
    <definedName name="мес" hidden="1">{#N/A,#N/A,TRUE,"Лист1";#N/A,#N/A,TRUE,"Лист2";#N/A,#N/A,TRUE,"Лист3"}</definedName>
    <definedName name="ммм" localSheetId="0">#REF!</definedName>
    <definedName name="ммм">#REF!</definedName>
    <definedName name="мпр" localSheetId="0">#REF!</definedName>
    <definedName name="мпр">#REF!</definedName>
    <definedName name="МРП" localSheetId="0">#REF!</definedName>
    <definedName name="МРП">#REF!</definedName>
    <definedName name="мым" localSheetId="0">[10]!мым</definedName>
    <definedName name="мым">[10]!мым</definedName>
    <definedName name="мым_11" localSheetId="0">'дек18 (факт)'!мым_11</definedName>
    <definedName name="мым_11">#N/A</definedName>
    <definedName name="мым_12" localSheetId="0">'дек18 (факт)'!мым_12</definedName>
    <definedName name="мым_12">#N/A</definedName>
    <definedName name="мым_13" localSheetId="0">'дек18 (факт)'!мым_13</definedName>
    <definedName name="мым_13">#N/A</definedName>
    <definedName name="мым_14" localSheetId="0">'дек18 (факт)'!мым_14</definedName>
    <definedName name="мым_14">#N/A</definedName>
    <definedName name="мым_16" localSheetId="0">'дек18 (факт)'!мым_16</definedName>
    <definedName name="мым_16">#N/A</definedName>
    <definedName name="мым_17" localSheetId="0">'дек18 (факт)'!мым_17</definedName>
    <definedName name="мым_17">#N/A</definedName>
    <definedName name="мым_18" localSheetId="0">'дек18 (факт)'!мым_18</definedName>
    <definedName name="мым_18">#N/A</definedName>
    <definedName name="мым_19" localSheetId="0">'дек18 (факт)'!мым_19</definedName>
    <definedName name="мым_19">#N/A</definedName>
    <definedName name="налогКЖДТ" localSheetId="0">#REF!</definedName>
    <definedName name="налогКЖДТ">#REF!</definedName>
    <definedName name="налогКТЖ" localSheetId="0">#REF!</definedName>
    <definedName name="налогКТЖ">#REF!</definedName>
    <definedName name="налогЛокомотив" localSheetId="0">#REF!</definedName>
    <definedName name="налогЛокомотив">#REF!</definedName>
    <definedName name="Нстроки" localSheetId="0">#REF!</definedName>
    <definedName name="Нстроки">#REF!</definedName>
    <definedName name="о" localSheetId="0">[10]!о</definedName>
    <definedName name="о">[10]!о</definedName>
    <definedName name="_xlnm.Print_Area" localSheetId="0">'дек18 (факт)'!$A$1:$BM$372</definedName>
    <definedName name="Общие" localSheetId="0">#REF!</definedName>
    <definedName name="Общие">#REF!</definedName>
    <definedName name="окт" localSheetId="0">#REF!</definedName>
    <definedName name="окт">#REF!</definedName>
    <definedName name="окт2" localSheetId="0">#REF!</definedName>
    <definedName name="окт2">#REF!</definedName>
    <definedName name="окт3" localSheetId="0">#REF!</definedName>
    <definedName name="окт3">#REF!</definedName>
    <definedName name="олд" localSheetId="0">#REF!</definedName>
    <definedName name="олд">#REF!</definedName>
    <definedName name="оплата" localSheetId="0">#REF!</definedName>
    <definedName name="оплата">#REF!</definedName>
    <definedName name="оплата2" localSheetId="0">#REF!</definedName>
    <definedName name="оплата2">#REF!</definedName>
    <definedName name="Ора">'[58]поставка сравн13'!$A$1:$Q$30</definedName>
    <definedName name="Ораз">[48]Форма2!$D$179:$F$185,[48]Форма2!$D$175:$F$177,[48]Форма2!$D$165:$F$173,[48]Форма2!$D$165</definedName>
    <definedName name="оригинал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статок" localSheetId="0">#REF!</definedName>
    <definedName name="остаток">#REF!</definedName>
    <definedName name="ПВД1" localSheetId="0">#REF!</definedName>
    <definedName name="ПВД1">#REF!</definedName>
    <definedName name="первый" localSheetId="0">#REF!</definedName>
    <definedName name="первый">#REF!</definedName>
    <definedName name="Период_отгрузки" localSheetId="0">#REF!</definedName>
    <definedName name="Период_отгрузки">#REF!</definedName>
    <definedName name="подготовка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_к_печати_и_сохранение0710" localSheetId="0">[10]!Подготовка_к_печати_и_сохранение0710</definedName>
    <definedName name="Подготовка_к_печати_и_сохранение0710">[10]!Подготовка_к_печати_и_сохранение0710</definedName>
    <definedName name="пол" localSheetId="0">[10]!пол</definedName>
    <definedName name="пол">[10]!пол</definedName>
    <definedName name="пп">#N/A</definedName>
    <definedName name="ппп" localSheetId="0">[10]!ппп</definedName>
    <definedName name="ппп">[10]!ппп</definedName>
    <definedName name="пппп" localSheetId="0">[10]!пппп</definedName>
    <definedName name="пппп">[10]!пппп</definedName>
    <definedName name="пр" localSheetId="0">[10]!пр</definedName>
    <definedName name="пр">[10]!пр</definedName>
    <definedName name="Предприятия">'[59]#ССЫЛКА'!$A$1:$D$64</definedName>
    <definedName name="Предприятия_13" localSheetId="0">#REF!</definedName>
    <definedName name="Предприятия_13">#REF!</definedName>
    <definedName name="Предприятия_16" localSheetId="0">#REF!</definedName>
    <definedName name="Предприятия_16">#REF!</definedName>
    <definedName name="Предприятия_18" localSheetId="0">#REF!</definedName>
    <definedName name="Предприятия_18">#REF!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 localSheetId="0">#REF!</definedName>
    <definedName name="Прог">#REF!</definedName>
    <definedName name="пррррр" localSheetId="0">#REF!</definedName>
    <definedName name="пррррр">#REF!</definedName>
    <definedName name="прррррр" localSheetId="0">#REF!</definedName>
    <definedName name="прррррр">#REF!</definedName>
    <definedName name="расход" localSheetId="0">#REF!</definedName>
    <definedName name="расход">#REF!</definedName>
    <definedName name="расходы">[60]Форма2!$C$51:$C$58,[60]Форма2!$E$51:$F$58,[60]Форма2!$C$60:$C$63,[60]Форма2!$E$60:$F$63,[60]Форма2!$C$65:$C$67,[60]Форма2!$E$65:$F$67,[60]Форма2!$C$51</definedName>
    <definedName name="расчет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еализация" localSheetId="0">#REF!</definedName>
    <definedName name="Реализация">#REF!</definedName>
    <definedName name="_xlnm.Recorder" localSheetId="0">#REF!</definedName>
    <definedName name="_xlnm.Recorder">#REF!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ол" localSheetId="0">#REF!</definedName>
    <definedName name="рол">#REF!</definedName>
    <definedName name="рп" localSheetId="0">[10]!рп</definedName>
    <definedName name="рп">[10]!рп</definedName>
    <definedName name="рпопо" localSheetId="0" hidden="1">{#N/A,#N/A,TRUE,"Лист1";#N/A,#N/A,TRUE,"Лист2";#N/A,#N/A,TRUE,"Лист3"}</definedName>
    <definedName name="рпопо" hidden="1">{#N/A,#N/A,TRUE,"Лист1";#N/A,#N/A,TRUE,"Лист2";#N/A,#N/A,TRUE,"Лист3"}</definedName>
    <definedName name="рррр" localSheetId="0">[10]!рррр</definedName>
    <definedName name="рррр">[10]!рррр</definedName>
    <definedName name="с" localSheetId="0">[10]!с</definedName>
    <definedName name="с">[10]!с</definedName>
    <definedName name="с_11" localSheetId="0">'дек18 (факт)'!с_11</definedName>
    <definedName name="с_11">#N/A</definedName>
    <definedName name="с_12" localSheetId="0">'дек18 (факт)'!с_12</definedName>
    <definedName name="с_12">#N/A</definedName>
    <definedName name="с_13" localSheetId="0">'дек18 (факт)'!с_13</definedName>
    <definedName name="с_13">#N/A</definedName>
    <definedName name="с_14" localSheetId="0">'дек18 (факт)'!с_14</definedName>
    <definedName name="с_14">#N/A</definedName>
    <definedName name="с_16" localSheetId="0">'дек18 (факт)'!с_16</definedName>
    <definedName name="с_16">#N/A</definedName>
    <definedName name="с_17" localSheetId="0">'дек18 (факт)'!с_17</definedName>
    <definedName name="с_17">#N/A</definedName>
    <definedName name="с_18" localSheetId="0">'дек18 (факт)'!с_18</definedName>
    <definedName name="с_18">#N/A</definedName>
    <definedName name="с_19" localSheetId="0">'дек18 (факт)'!с_19</definedName>
    <definedName name="с_19">#N/A</definedName>
    <definedName name="Свод" localSheetId="0">[10]!Свод</definedName>
    <definedName name="Свод">[10]!Свод</definedName>
    <definedName name="Сводный_баланс_н_п_с" localSheetId="0">[10]!Сводный_баланс_н_п_с</definedName>
    <definedName name="Сводный_баланс_н_п_с">[10]!Сводный_баланс_н_п_с</definedName>
    <definedName name="сектор">[21]Предпр!$L$3:$L$9</definedName>
    <definedName name="сектор_13">[23]Предпр!$L$3:$L$8</definedName>
    <definedName name="сектор_16">[23]Предпр!$L$3:$L$8</definedName>
    <definedName name="сектор_18">[23]Предпр!$L$3:$L$8</definedName>
    <definedName name="см" localSheetId="0">#REF!</definedName>
    <definedName name="см">#REF!</definedName>
    <definedName name="Сохранение" localSheetId="0">#REF!</definedName>
    <definedName name="Сохранение">#REF!</definedName>
    <definedName name="Соц.пособие" localSheetId="0">[61]ОТиТБ!#REF!</definedName>
    <definedName name="Соц.пособие">[61]ОТиТБ!#REF!</definedName>
    <definedName name="СписокТЭП">[62]СписокТЭП!$A$1:$C$40</definedName>
    <definedName name="СписокТЭП_13">[63]СписокТЭП!$A$1:$C$40</definedName>
    <definedName name="СписокТЭП_16">[63]СписокТЭП!$A$1:$C$40</definedName>
    <definedName name="СписокТЭП_18">[63]СписокТЭП!$A$1:$C$40</definedName>
    <definedName name="СрокПроекта" localSheetId="0">#REF!</definedName>
    <definedName name="СрокПроекта">#REF!</definedName>
    <definedName name="сс" localSheetId="0">[10]!сс</definedName>
    <definedName name="сс">[10]!сс</definedName>
    <definedName name="сс_11" localSheetId="0">'дек18 (факт)'!сс_11</definedName>
    <definedName name="сс_11">#N/A</definedName>
    <definedName name="сс_12" localSheetId="0">'дек18 (факт)'!сс_12</definedName>
    <definedName name="сс_12">#N/A</definedName>
    <definedName name="сс_13" localSheetId="0">'дек18 (факт)'!сс_13</definedName>
    <definedName name="сс_13">#N/A</definedName>
    <definedName name="сс_14" localSheetId="0">'дек18 (факт)'!сс_14</definedName>
    <definedName name="сс_14">#N/A</definedName>
    <definedName name="сс_16" localSheetId="0">'дек18 (факт)'!сс_16</definedName>
    <definedName name="сс_16">#N/A</definedName>
    <definedName name="сс_17" localSheetId="0">'дек18 (факт)'!сс_17</definedName>
    <definedName name="сс_17">#N/A</definedName>
    <definedName name="сс_18" localSheetId="0">'дек18 (факт)'!сс_18</definedName>
    <definedName name="сс_18">#N/A</definedName>
    <definedName name="сс_19" localSheetId="0">'дек18 (факт)'!сс_19</definedName>
    <definedName name="сс_19">#N/A</definedName>
    <definedName name="сссс" localSheetId="0">[10]!сссс</definedName>
    <definedName name="сссс">[10]!сссс</definedName>
    <definedName name="сссс_11" localSheetId="0">'дек18 (факт)'!сссс_11</definedName>
    <definedName name="сссс_11">#N/A</definedName>
    <definedName name="сссс_12" localSheetId="0">'дек18 (факт)'!сссс_12</definedName>
    <definedName name="сссс_12">#N/A</definedName>
    <definedName name="сссс_13" localSheetId="0">'дек18 (факт)'!сссс_13</definedName>
    <definedName name="сссс_13">#N/A</definedName>
    <definedName name="сссс_14" localSheetId="0">'дек18 (факт)'!сссс_14</definedName>
    <definedName name="сссс_14">#N/A</definedName>
    <definedName name="сссс_16" localSheetId="0">'дек18 (факт)'!сссс_16</definedName>
    <definedName name="сссс_16">#N/A</definedName>
    <definedName name="сссс_17" localSheetId="0">'дек18 (факт)'!сссс_17</definedName>
    <definedName name="сссс_17">#N/A</definedName>
    <definedName name="сссс_18" localSheetId="0">'дек18 (факт)'!сссс_18</definedName>
    <definedName name="сссс_18">#N/A</definedName>
    <definedName name="сссс_19" localSheetId="0">'дек18 (факт)'!сссс_19</definedName>
    <definedName name="сссс_19">#N/A</definedName>
    <definedName name="ссы" localSheetId="0">[10]!ссы</definedName>
    <definedName name="ссы">[10]!ссы</definedName>
    <definedName name="ссы_11" localSheetId="0">'дек18 (факт)'!ссы_11</definedName>
    <definedName name="ссы_11">#N/A</definedName>
    <definedName name="ссы_12" localSheetId="0">'дек18 (факт)'!ссы_12</definedName>
    <definedName name="ссы_12">#N/A</definedName>
    <definedName name="ссы_13" localSheetId="0">'дек18 (факт)'!ссы_13</definedName>
    <definedName name="ссы_13">#N/A</definedName>
    <definedName name="ссы_14" localSheetId="0">'дек18 (факт)'!ссы_14</definedName>
    <definedName name="ссы_14">#N/A</definedName>
    <definedName name="ссы_16" localSheetId="0">'дек18 (факт)'!ссы_16</definedName>
    <definedName name="ссы_16">#N/A</definedName>
    <definedName name="ссы_17" localSheetId="0">'дек18 (факт)'!ссы_17</definedName>
    <definedName name="ссы_17">#N/A</definedName>
    <definedName name="ссы_18" localSheetId="0">'дек18 (факт)'!ссы_18</definedName>
    <definedName name="ссы_18">#N/A</definedName>
    <definedName name="ссы_19" localSheetId="0">'дек18 (факт)'!ссы_19</definedName>
    <definedName name="ссы_19">#N/A</definedName>
    <definedName name="СтавкаПроцента1">'[64]L-1'!$B$3</definedName>
    <definedName name="Строки" localSheetId="0">#REF!</definedName>
    <definedName name="Строки">#REF!</definedName>
    <definedName name="СуммаКредита1">'[64]L-1'!$B$2</definedName>
    <definedName name="счет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яры" localSheetId="0">#REF!</definedName>
    <definedName name="сяры">#REF!</definedName>
    <definedName name="титэк" localSheetId="0">#REF!</definedName>
    <definedName name="титэк">#REF!</definedName>
    <definedName name="титэк_13" localSheetId="0">#REF!</definedName>
    <definedName name="титэк_13">#REF!</definedName>
    <definedName name="титэк_16" localSheetId="0">#REF!</definedName>
    <definedName name="титэк_16">#REF!</definedName>
    <definedName name="титэк_18" localSheetId="0">#REF!</definedName>
    <definedName name="титэк_18">#REF!</definedName>
    <definedName name="титэк1" localSheetId="0">#REF!</definedName>
    <definedName name="титэк1">#REF!</definedName>
    <definedName name="титэк1_13" localSheetId="0">#REF!</definedName>
    <definedName name="титэк1_13">#REF!</definedName>
    <definedName name="титэк1_16" localSheetId="0">#REF!</definedName>
    <definedName name="титэк1_16">#REF!</definedName>
    <definedName name="титэк1_18" localSheetId="0">#REF!</definedName>
    <definedName name="титэк1_18">#REF!</definedName>
    <definedName name="титэмба" localSheetId="0">#REF!</definedName>
    <definedName name="титэмба">#REF!</definedName>
    <definedName name="титэмба_13" localSheetId="0">#REF!</definedName>
    <definedName name="титэмба_13">#REF!</definedName>
    <definedName name="титэмба_16" localSheetId="0">#REF!</definedName>
    <definedName name="титэмба_16">#REF!</definedName>
    <definedName name="титэмба_18" localSheetId="0">#REF!</definedName>
    <definedName name="титэмба_18">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Трансляция_F" localSheetId="0">#REF!</definedName>
    <definedName name="Трансляция_F">#REF!</definedName>
    <definedName name="третий" localSheetId="0">#REF!</definedName>
    <definedName name="третий">#REF!</definedName>
    <definedName name="тьб" localSheetId="0">#REF!</definedName>
    <definedName name="тьб">#REF!</definedName>
    <definedName name="у" localSheetId="0">[10]!у</definedName>
    <definedName name="у">[10]!у</definedName>
    <definedName name="у_11" localSheetId="0">'дек18 (факт)'!у_11</definedName>
    <definedName name="у_11">#N/A</definedName>
    <definedName name="у_12" localSheetId="0">'дек18 (факт)'!у_12</definedName>
    <definedName name="у_12">#N/A</definedName>
    <definedName name="у_13" localSheetId="0">'дек18 (факт)'!у_13</definedName>
    <definedName name="у_13">#N/A</definedName>
    <definedName name="у_14" localSheetId="0">'дек18 (факт)'!у_14</definedName>
    <definedName name="у_14">#N/A</definedName>
    <definedName name="у_16" localSheetId="0">'дек18 (факт)'!у_16</definedName>
    <definedName name="у_16">#N/A</definedName>
    <definedName name="у_17" localSheetId="0">'дек18 (факт)'!у_17</definedName>
    <definedName name="у_17">#N/A</definedName>
    <definedName name="у_18" localSheetId="0">'дек18 (факт)'!у_18</definedName>
    <definedName name="у_18">#N/A</definedName>
    <definedName name="у_19" localSheetId="0">'дек18 (факт)'!у_19</definedName>
    <definedName name="у_19">#N/A</definedName>
    <definedName name="Увеличение" localSheetId="0">#REF!</definedName>
    <definedName name="Увеличение">#REF!</definedName>
    <definedName name="Узлы" localSheetId="0">#REF!</definedName>
    <definedName name="Узлы">#REF!</definedName>
    <definedName name="ук" localSheetId="0">[10]!ук</definedName>
    <definedName name="ук">[10]!ук</definedName>
    <definedName name="ук_11" localSheetId="0">'дек18 (факт)'!ук_11</definedName>
    <definedName name="ук_11">#N/A</definedName>
    <definedName name="ук_12" localSheetId="0">'дек18 (факт)'!ук_12</definedName>
    <definedName name="ук_12">#N/A</definedName>
    <definedName name="ук_13" localSheetId="0">'дек18 (факт)'!ук_13</definedName>
    <definedName name="ук_13">#N/A</definedName>
    <definedName name="ук_14" localSheetId="0">'дек18 (факт)'!ук_14</definedName>
    <definedName name="ук_14">#N/A</definedName>
    <definedName name="ук_16" localSheetId="0">'дек18 (факт)'!ук_16</definedName>
    <definedName name="ук_16">#N/A</definedName>
    <definedName name="ук_17" localSheetId="0">'дек18 (факт)'!ук_17</definedName>
    <definedName name="ук_17">#N/A</definedName>
    <definedName name="ук_18" localSheetId="0">'дек18 (факт)'!ук_18</definedName>
    <definedName name="ук_18">#N/A</definedName>
    <definedName name="ук_19" localSheetId="0">'дек18 (факт)'!ук_19</definedName>
    <definedName name="ук_19">#N/A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ро" localSheetId="0" hidden="1">{#N/A,#N/A,TRUE,"Лист1";#N/A,#N/A,TRUE,"Лист2";#N/A,#N/A,TRUE,"Лист3"}</definedName>
    <definedName name="уро" hidden="1">{#N/A,#N/A,TRUE,"Лист1";#N/A,#N/A,TRUE,"Лист2";#N/A,#N/A,TRUE,"Лист3"}</definedName>
    <definedName name="Уровень2" localSheetId="0">#REF!</definedName>
    <definedName name="Уровень2">#REF!</definedName>
    <definedName name="Уровень3" localSheetId="0">#REF!</definedName>
    <definedName name="Уровень3">#REF!</definedName>
    <definedName name="ф77" localSheetId="0">#REF!</definedName>
    <definedName name="ф77">#REF!</definedName>
    <definedName name="фифа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лажок16_Щелкнуть" localSheetId="0">[10]!Флажок16_Щелкнуть</definedName>
    <definedName name="Флажок16_Щелкнуть">[10]!Флажок16_Щелкнуть</definedName>
    <definedName name="фонарь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рма6" localSheetId="0">#REF!</definedName>
    <definedName name="форма6">#REF!</definedName>
    <definedName name="форма6_13" localSheetId="0">#REF!</definedName>
    <definedName name="форма6_13">#REF!</definedName>
    <definedName name="форма6_16" localSheetId="0">#REF!</definedName>
    <definedName name="форма6_16">#REF!</definedName>
    <definedName name="форма6_18" localSheetId="0">#REF!</definedName>
    <definedName name="форма6_18">#REF!</definedName>
    <definedName name="хаха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хх">#N/A</definedName>
    <definedName name="ц" localSheetId="0">[10]!ц</definedName>
    <definedName name="ц">[10]!ц</definedName>
    <definedName name="ц_11" localSheetId="0">'дек18 (факт)'!ц_11</definedName>
    <definedName name="ц_11">#N/A</definedName>
    <definedName name="ц_12" localSheetId="0">'дек18 (факт)'!ц_12</definedName>
    <definedName name="ц_12">#N/A</definedName>
    <definedName name="ц_13" localSheetId="0">'дек18 (факт)'!ц_13</definedName>
    <definedName name="ц_13">#N/A</definedName>
    <definedName name="ц_14" localSheetId="0">'дек18 (факт)'!ц_14</definedName>
    <definedName name="ц_14">#N/A</definedName>
    <definedName name="ц_16" localSheetId="0">'дек18 (факт)'!ц_16</definedName>
    <definedName name="ц_16">#N/A</definedName>
    <definedName name="ц_17" localSheetId="0">'дек18 (факт)'!ц_17</definedName>
    <definedName name="ц_17">#N/A</definedName>
    <definedName name="ц_18" localSheetId="0">'дек18 (факт)'!ц_18</definedName>
    <definedName name="ц_18">#N/A</definedName>
    <definedName name="ц_19" localSheetId="0">'дек18 (факт)'!ц_19</definedName>
    <definedName name="ц_19">#N/A</definedName>
    <definedName name="Цена_4" localSheetId="0">#REF!</definedName>
    <definedName name="Цена_4">#REF!</definedName>
    <definedName name="Цена_5" localSheetId="0">#REF!</definedName>
    <definedName name="Цена_5">#REF!</definedName>
    <definedName name="Цена_97" localSheetId="0">#REF!</definedName>
    <definedName name="Цена_97">#REF!</definedName>
    <definedName name="цу" localSheetId="0">[10]!цу</definedName>
    <definedName name="цу">[10]!цу</definedName>
    <definedName name="цу_11" localSheetId="0">'дек18 (факт)'!цу_11</definedName>
    <definedName name="цу_11">#N/A</definedName>
    <definedName name="цу_12" localSheetId="0">'дек18 (факт)'!цу_12</definedName>
    <definedName name="цу_12">#N/A</definedName>
    <definedName name="цу_13" localSheetId="0">'дек18 (факт)'!цу_13</definedName>
    <definedName name="цу_13">#N/A</definedName>
    <definedName name="цу_14" localSheetId="0">'дек18 (факт)'!цу_14</definedName>
    <definedName name="цу_14">#N/A</definedName>
    <definedName name="цу_16" localSheetId="0">'дек18 (факт)'!цу_16</definedName>
    <definedName name="цу_16">#N/A</definedName>
    <definedName name="цу_17" localSheetId="0">'дек18 (факт)'!цу_17</definedName>
    <definedName name="цу_17">#N/A</definedName>
    <definedName name="цу_18" localSheetId="0">'дек18 (факт)'!цу_18</definedName>
    <definedName name="цу_18">#N/A</definedName>
    <definedName name="цу_19" localSheetId="0">'дек18 (факт)'!цу_19</definedName>
    <definedName name="цу_19">#N/A</definedName>
    <definedName name="цц" localSheetId="0">[10]!цц</definedName>
    <definedName name="цц">[10]!цц</definedName>
    <definedName name="цц_11" localSheetId="0">'дек18 (факт)'!цц_11</definedName>
    <definedName name="цц_11">#N/A</definedName>
    <definedName name="цц_12" localSheetId="0">'дек18 (факт)'!цц_12</definedName>
    <definedName name="цц_12">#N/A</definedName>
    <definedName name="цц_13" localSheetId="0">'дек18 (факт)'!цц_13</definedName>
    <definedName name="цц_13">#N/A</definedName>
    <definedName name="цц_14" localSheetId="0">'дек18 (факт)'!цц_14</definedName>
    <definedName name="цц_14">#N/A</definedName>
    <definedName name="цц_16" localSheetId="0">'дек18 (факт)'!цц_16</definedName>
    <definedName name="цц_16">#N/A</definedName>
    <definedName name="цц_17" localSheetId="0">'дек18 (факт)'!цц_17</definedName>
    <definedName name="цц_17">#N/A</definedName>
    <definedName name="цц_18" localSheetId="0">'дек18 (факт)'!цц_18</definedName>
    <definedName name="цц_18">#N/A</definedName>
    <definedName name="цц_19" localSheetId="0">'дек18 (факт)'!цц_19</definedName>
    <definedName name="цц_19">#N/A</definedName>
    <definedName name="четвертый" localSheetId="0">#REF!</definedName>
    <definedName name="четвертый">#REF!</definedName>
    <definedName name="ш" localSheetId="0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ш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шщрзгшрз" localSheetId="0">[10]!шщрзгшрз</definedName>
    <definedName name="шщрзгшрз">[10]!шщрзгшрз</definedName>
    <definedName name="щ" localSheetId="0">[10]!щ</definedName>
    <definedName name="щ">[10]!щ</definedName>
    <definedName name="щ_11" localSheetId="0">'дек18 (факт)'!щ_11</definedName>
    <definedName name="щ_11">#N/A</definedName>
    <definedName name="щ_12" localSheetId="0">'дек18 (факт)'!щ_12</definedName>
    <definedName name="щ_12">#N/A</definedName>
    <definedName name="щ_13" localSheetId="0">'дек18 (факт)'!щ_13</definedName>
    <definedName name="щ_13">#N/A</definedName>
    <definedName name="щ_14" localSheetId="0">'дек18 (факт)'!щ_14</definedName>
    <definedName name="щ_14">#N/A</definedName>
    <definedName name="щ_16" localSheetId="0">'дек18 (факт)'!щ_16</definedName>
    <definedName name="щ_16">#N/A</definedName>
    <definedName name="щ_17" localSheetId="0">'дек18 (факт)'!щ_17</definedName>
    <definedName name="щ_17">#N/A</definedName>
    <definedName name="щ_18" localSheetId="0">'дек18 (факт)'!щ_18</definedName>
    <definedName name="щ_18">#N/A</definedName>
    <definedName name="щ_19" localSheetId="0">'дек18 (факт)'!щ_19</definedName>
    <definedName name="щ_19">#N/A</definedName>
    <definedName name="ътх" localSheetId="0">[10]!ътх</definedName>
    <definedName name="ътх">[10]!ътх</definedName>
    <definedName name="ыв" localSheetId="0">[10]!ыв</definedName>
    <definedName name="ыв">[10]!ыв</definedName>
    <definedName name="ыв_11" localSheetId="0">'дек18 (факт)'!ыв_11</definedName>
    <definedName name="ыв_11">#N/A</definedName>
    <definedName name="ыв_12" localSheetId="0">'дек18 (факт)'!ыв_12</definedName>
    <definedName name="ыв_12">#N/A</definedName>
    <definedName name="ыв_13" localSheetId="0">'дек18 (факт)'!ыв_13</definedName>
    <definedName name="ыв_13">#N/A</definedName>
    <definedName name="ыв_14" localSheetId="0">'дек18 (факт)'!ыв_14</definedName>
    <definedName name="ыв_14">#N/A</definedName>
    <definedName name="ыв_16" localSheetId="0">'дек18 (факт)'!ыв_16</definedName>
    <definedName name="ыв_16">#N/A</definedName>
    <definedName name="ыв_17" localSheetId="0">'дек18 (факт)'!ыв_17</definedName>
    <definedName name="ыв_17">#N/A</definedName>
    <definedName name="ыв_18" localSheetId="0">'дек18 (факт)'!ыв_18</definedName>
    <definedName name="ыв_18">#N/A</definedName>
    <definedName name="ыв_19" localSheetId="0">'дек18 (факт)'!ыв_19</definedName>
    <definedName name="ыв_19">#N/A</definedName>
    <definedName name="ыва" localSheetId="0" hidden="1">{#N/A,#N/A,TRUE,"Лист1";#N/A,#N/A,TRUE,"Лист2";#N/A,#N/A,TRUE,"Лист3"}</definedName>
    <definedName name="ыва" hidden="1">{#N/A,#N/A,TRUE,"Лист1";#N/A,#N/A,TRUE,"Лист2";#N/A,#N/A,TRUE,"Лист3"}</definedName>
    <definedName name="ып" localSheetId="0">[10]!ып</definedName>
    <definedName name="ып">[10]!ып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 localSheetId="0">[10]!ыыыы</definedName>
    <definedName name="ыыыы">[10]!ыыыы</definedName>
    <definedName name="ыыыы_11" localSheetId="0">'дек18 (факт)'!ыыыы_11</definedName>
    <definedName name="ыыыы_11">#N/A</definedName>
    <definedName name="ыыыы_12" localSheetId="0">'дек18 (факт)'!ыыыы_12</definedName>
    <definedName name="ыыыы_12">#N/A</definedName>
    <definedName name="ыыыы_13" localSheetId="0">'дек18 (факт)'!ыыыы_13</definedName>
    <definedName name="ыыыы_13">#N/A</definedName>
    <definedName name="ыыыы_14" localSheetId="0">'дек18 (факт)'!ыыыы_14</definedName>
    <definedName name="ыыыы_14">#N/A</definedName>
    <definedName name="ыыыы_16" localSheetId="0">'дек18 (факт)'!ыыыы_16</definedName>
    <definedName name="ыыыы_16">#N/A</definedName>
    <definedName name="ыыыы_17" localSheetId="0">'дек18 (факт)'!ыыыы_17</definedName>
    <definedName name="ыыыы_17">#N/A</definedName>
    <definedName name="ыыыы_18" localSheetId="0">'дек18 (факт)'!ыыыы_18</definedName>
    <definedName name="ыыыы_18">#N/A</definedName>
    <definedName name="ыыыы_19" localSheetId="0">'дек18 (факт)'!ыыыы_19</definedName>
    <definedName name="ыыыы_19">#N/A</definedName>
    <definedName name="Экспорт_Объемы_добычи" localSheetId="0">#REF!</definedName>
    <definedName name="Экспорт_Объемы_добычи">#REF!</definedName>
    <definedName name="Экспорт_Объемы_добычи_13" localSheetId="0">#REF!</definedName>
    <definedName name="Экспорт_Объемы_добычи_13">#REF!</definedName>
    <definedName name="Экспорт_Объемы_добычи_16" localSheetId="0">#REF!</definedName>
    <definedName name="Экспорт_Объемы_добычи_16">#REF!</definedName>
    <definedName name="Экспорт_Объемы_добычи_18" localSheetId="0">#REF!</definedName>
    <definedName name="Экспорт_Объемы_добычи_18">#REF!</definedName>
    <definedName name="Экспорт_Поставки_нефти">'[56]поставка сравн13'!$A$1:$Q$30</definedName>
    <definedName name="Экспорт_Поставки_нефти_13">'[57]поставка сравн13'!$A$1:$Q$30</definedName>
    <definedName name="Экспорт_Поставки_нефти_16">'[57]поставка сравн13'!$A$1:$Q$30</definedName>
    <definedName name="Экспорт_Поставки_нефти_18">'[57]поставка сравн13'!$A$1:$Q$30</definedName>
    <definedName name="ээ" localSheetId="0">#REF!</definedName>
    <definedName name="ээ">#REF!</definedName>
    <definedName name="юю" localSheetId="0">#REF!</definedName>
    <definedName name="юю">#REF!</definedName>
    <definedName name="явп" localSheetId="0">#REF!</definedName>
    <definedName name="явп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  <c r="O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L17" i="1"/>
  <c r="AR17" i="1"/>
  <c r="AS17" i="1"/>
  <c r="AT17" i="1"/>
  <c r="AU17" i="1"/>
  <c r="AV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N17" i="1"/>
  <c r="BO17" i="1"/>
  <c r="BP17" i="1"/>
  <c r="BQ17" i="1"/>
  <c r="I18" i="1"/>
  <c r="O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R18" i="1" s="1"/>
  <c r="AL18" i="1"/>
  <c r="AO18" i="1"/>
  <c r="AT18" i="1"/>
  <c r="AU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N18" i="1"/>
  <c r="BO18" i="1"/>
  <c r="BP18" i="1"/>
  <c r="BQ18" i="1"/>
  <c r="I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L19" i="1"/>
  <c r="AR19" i="1"/>
  <c r="AT19" i="1"/>
  <c r="AU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N19" i="1"/>
  <c r="BO19" i="1"/>
  <c r="BP19" i="1"/>
  <c r="BQ19" i="1"/>
  <c r="E20" i="1"/>
  <c r="E17" i="1" s="1"/>
  <c r="J20" i="1"/>
  <c r="J17" i="1" s="1"/>
  <c r="N20" i="1"/>
  <c r="Q20" i="1"/>
  <c r="Q17" i="1" s="1"/>
  <c r="AJ20" i="1"/>
  <c r="AM20" i="1"/>
  <c r="AO20" i="1"/>
  <c r="AO17" i="1" s="1"/>
  <c r="AR20" i="1"/>
  <c r="AW20" i="1"/>
  <c r="AW17" i="1" s="1"/>
  <c r="E21" i="1"/>
  <c r="F21" i="1" s="1"/>
  <c r="F18" i="1" s="1"/>
  <c r="J21" i="1"/>
  <c r="J18" i="1" s="1"/>
  <c r="N21" i="1"/>
  <c r="O21" i="1"/>
  <c r="O22" i="1" s="1"/>
  <c r="O19" i="1" s="1"/>
  <c r="Q21" i="1"/>
  <c r="Q18" i="1" s="1"/>
  <c r="AJ21" i="1"/>
  <c r="AM21" i="1"/>
  <c r="AM18" i="1" s="1"/>
  <c r="AO21" i="1"/>
  <c r="AR21" i="1"/>
  <c r="AW21" i="1"/>
  <c r="E22" i="1"/>
  <c r="E19" i="1" s="1"/>
  <c r="F22" i="1"/>
  <c r="F19" i="1" s="1"/>
  <c r="J22" i="1"/>
  <c r="J19" i="1" s="1"/>
  <c r="AJ22" i="1"/>
  <c r="AM22" i="1"/>
  <c r="AM19" i="1" s="1"/>
  <c r="AO22" i="1"/>
  <c r="AO19" i="1" s="1"/>
  <c r="AP22" i="1"/>
  <c r="AP19" i="1" s="1"/>
  <c r="AR22" i="1"/>
  <c r="AV22" i="1"/>
  <c r="AW22" i="1"/>
  <c r="F23" i="1"/>
  <c r="J23" i="1"/>
  <c r="AJ23" i="1"/>
  <c r="AM23" i="1"/>
  <c r="AP23" i="1" s="1"/>
  <c r="AO23" i="1"/>
  <c r="AR23" i="1"/>
  <c r="AS23" i="1"/>
  <c r="AS19" i="1" s="1"/>
  <c r="AV23" i="1"/>
  <c r="I24" i="1"/>
  <c r="T24" i="1"/>
  <c r="U24" i="1"/>
  <c r="W24" i="1"/>
  <c r="X24" i="1"/>
  <c r="Z24" i="1"/>
  <c r="AA24" i="1"/>
  <c r="AC24" i="1"/>
  <c r="AD24" i="1"/>
  <c r="AI24" i="1"/>
  <c r="AS24" i="1"/>
  <c r="AT24" i="1"/>
  <c r="AU24" i="1"/>
  <c r="AX24" i="1"/>
  <c r="AY24" i="1"/>
  <c r="BA24" i="1"/>
  <c r="BB24" i="1"/>
  <c r="BC24" i="1"/>
  <c r="BD24" i="1"/>
  <c r="BE24" i="1"/>
  <c r="BF24" i="1"/>
  <c r="BG24" i="1"/>
  <c r="BH24" i="1"/>
  <c r="BI24" i="1"/>
  <c r="BJ24" i="1"/>
  <c r="BK24" i="1"/>
  <c r="BN24" i="1"/>
  <c r="BO24" i="1"/>
  <c r="BP24" i="1"/>
  <c r="BQ24" i="1"/>
  <c r="I25" i="1"/>
  <c r="T25" i="1"/>
  <c r="U25" i="1"/>
  <c r="W25" i="1"/>
  <c r="X25" i="1"/>
  <c r="Z25" i="1"/>
  <c r="AA25" i="1"/>
  <c r="AC25" i="1"/>
  <c r="AD25" i="1"/>
  <c r="AS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P25" i="1"/>
  <c r="T26" i="1"/>
  <c r="U26" i="1"/>
  <c r="W26" i="1"/>
  <c r="X26" i="1"/>
  <c r="Z26" i="1"/>
  <c r="AA26" i="1"/>
  <c r="AC26" i="1"/>
  <c r="AD26" i="1"/>
  <c r="AS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N26" i="1"/>
  <c r="BN25" i="1" s="1"/>
  <c r="BO26" i="1"/>
  <c r="BO25" i="1" s="1"/>
  <c r="BP26" i="1"/>
  <c r="BQ26" i="1"/>
  <c r="BQ25" i="1" s="1"/>
  <c r="E27" i="1"/>
  <c r="F27" i="1"/>
  <c r="J27" i="1"/>
  <c r="N27" i="1"/>
  <c r="P27" i="1"/>
  <c r="Q27" i="1"/>
  <c r="AF27" i="1"/>
  <c r="AG27" i="1"/>
  <c r="AJ27" i="1"/>
  <c r="AM27" i="1"/>
  <c r="AO27" i="1"/>
  <c r="AR27" i="1"/>
  <c r="AV27" i="1"/>
  <c r="BL27" i="1"/>
  <c r="E28" i="1"/>
  <c r="F28" i="1"/>
  <c r="J28" i="1"/>
  <c r="N28" i="1"/>
  <c r="O28" i="1"/>
  <c r="Q28" i="1" s="1"/>
  <c r="P28" i="1"/>
  <c r="AF28" i="1"/>
  <c r="AG28" i="1"/>
  <c r="AJ28" i="1"/>
  <c r="AP28" i="1" s="1"/>
  <c r="AM28" i="1"/>
  <c r="AO28" i="1"/>
  <c r="AR28" i="1"/>
  <c r="AV28" i="1"/>
  <c r="AW28" i="1"/>
  <c r="E29" i="1"/>
  <c r="F29" i="1"/>
  <c r="I29" i="1"/>
  <c r="J29" i="1"/>
  <c r="N29" i="1"/>
  <c r="P29" i="1" s="1"/>
  <c r="O29" i="1"/>
  <c r="AF29" i="1"/>
  <c r="AG29" i="1"/>
  <c r="AI29" i="1"/>
  <c r="AJ29" i="1"/>
  <c r="AM29" i="1"/>
  <c r="AP29" i="1" s="1"/>
  <c r="AO29" i="1"/>
  <c r="AR29" i="1"/>
  <c r="AV29" i="1"/>
  <c r="AW29" i="1"/>
  <c r="N30" i="1"/>
  <c r="P30" i="1"/>
  <c r="Q30" i="1"/>
  <c r="AF30" i="1"/>
  <c r="AG30" i="1"/>
  <c r="AJ30" i="1"/>
  <c r="AM30" i="1"/>
  <c r="AP30" i="1" s="1"/>
  <c r="AO30" i="1"/>
  <c r="AR30" i="1"/>
  <c r="AW30" i="1"/>
  <c r="N31" i="1"/>
  <c r="O31" i="1"/>
  <c r="Q31" i="1"/>
  <c r="AF31" i="1"/>
  <c r="AG31" i="1"/>
  <c r="AJ31" i="1"/>
  <c r="AM31" i="1"/>
  <c r="AP31" i="1" s="1"/>
  <c r="AO31" i="1"/>
  <c r="AR31" i="1"/>
  <c r="AV31" i="1"/>
  <c r="AW31" i="1"/>
  <c r="O32" i="1"/>
  <c r="Q32" i="1"/>
  <c r="AF32" i="1"/>
  <c r="AG32" i="1"/>
  <c r="AJ32" i="1"/>
  <c r="AM32" i="1"/>
  <c r="AP32" i="1" s="1"/>
  <c r="AO32" i="1"/>
  <c r="AR32" i="1"/>
  <c r="AV32" i="1"/>
  <c r="AW32" i="1" s="1"/>
  <c r="N33" i="1"/>
  <c r="N34" i="1" s="1"/>
  <c r="Q33" i="1"/>
  <c r="AF33" i="1"/>
  <c r="AG33" i="1"/>
  <c r="AJ33" i="1"/>
  <c r="AM33" i="1"/>
  <c r="AP33" i="1" s="1"/>
  <c r="AO33" i="1"/>
  <c r="AR33" i="1"/>
  <c r="AW33" i="1"/>
  <c r="O34" i="1"/>
  <c r="O35" i="1" s="1"/>
  <c r="Q35" i="1" s="1"/>
  <c r="Q34" i="1"/>
  <c r="AF34" i="1"/>
  <c r="AG34" i="1"/>
  <c r="AJ34" i="1"/>
  <c r="AM34" i="1"/>
  <c r="AP34" i="1" s="1"/>
  <c r="AO34" i="1"/>
  <c r="AR34" i="1"/>
  <c r="AV34" i="1"/>
  <c r="AF35" i="1"/>
  <c r="AG35" i="1"/>
  <c r="AJ35" i="1"/>
  <c r="AP35" i="1" s="1"/>
  <c r="AM35" i="1"/>
  <c r="AO35" i="1"/>
  <c r="AR35" i="1"/>
  <c r="N36" i="1"/>
  <c r="P36" i="1"/>
  <c r="Q36" i="1"/>
  <c r="AF36" i="1"/>
  <c r="AG36" i="1"/>
  <c r="AJ36" i="1"/>
  <c r="AP36" i="1" s="1"/>
  <c r="AM36" i="1"/>
  <c r="AO36" i="1"/>
  <c r="AR36" i="1"/>
  <c r="AW36" i="1"/>
  <c r="N37" i="1"/>
  <c r="P37" i="1" s="1"/>
  <c r="O37" i="1"/>
  <c r="Q37" i="1" s="1"/>
  <c r="AF37" i="1"/>
  <c r="AG37" i="1"/>
  <c r="AJ37" i="1"/>
  <c r="AP37" i="1" s="1"/>
  <c r="AM37" i="1"/>
  <c r="AO37" i="1"/>
  <c r="AR37" i="1"/>
  <c r="AV37" i="1"/>
  <c r="AW37" i="1"/>
  <c r="N38" i="1"/>
  <c r="P38" i="1" s="1"/>
  <c r="O38" i="1"/>
  <c r="Q38" i="1" s="1"/>
  <c r="AF38" i="1"/>
  <c r="AG38" i="1"/>
  <c r="AJ38" i="1"/>
  <c r="AM38" i="1"/>
  <c r="AO38" i="1"/>
  <c r="AP38" i="1"/>
  <c r="AR38" i="1"/>
  <c r="AV38" i="1"/>
  <c r="AW38" i="1"/>
  <c r="N39" i="1"/>
  <c r="P39" i="1"/>
  <c r="Q39" i="1"/>
  <c r="AF39" i="1"/>
  <c r="AG39" i="1"/>
  <c r="AJ39" i="1"/>
  <c r="AM39" i="1"/>
  <c r="AO39" i="1"/>
  <c r="AP39" i="1"/>
  <c r="AR39" i="1"/>
  <c r="AW39" i="1"/>
  <c r="N40" i="1"/>
  <c r="O40" i="1"/>
  <c r="Q40" i="1" s="1"/>
  <c r="AF40" i="1"/>
  <c r="AG40" i="1"/>
  <c r="AJ40" i="1"/>
  <c r="AM40" i="1"/>
  <c r="AO40" i="1"/>
  <c r="AP40" i="1"/>
  <c r="AR40" i="1"/>
  <c r="AV40" i="1"/>
  <c r="AW40" i="1"/>
  <c r="O41" i="1"/>
  <c r="Q41" i="1"/>
  <c r="AF41" i="1"/>
  <c r="AG41" i="1"/>
  <c r="AJ41" i="1"/>
  <c r="AM41" i="1"/>
  <c r="AP41" i="1" s="1"/>
  <c r="AO41" i="1"/>
  <c r="AR41" i="1"/>
  <c r="AV41" i="1"/>
  <c r="AW41" i="1" s="1"/>
  <c r="E42" i="1"/>
  <c r="F42" i="1" s="1"/>
  <c r="J42" i="1"/>
  <c r="AF42" i="1"/>
  <c r="AG42" i="1"/>
  <c r="AJ42" i="1"/>
  <c r="AV42" i="1"/>
  <c r="AW42" i="1" s="1"/>
  <c r="E43" i="1"/>
  <c r="F43" i="1"/>
  <c r="J43" i="1"/>
  <c r="AF43" i="1"/>
  <c r="AG43" i="1"/>
  <c r="AI43" i="1"/>
  <c r="AJ43" i="1" s="1"/>
  <c r="AL43" i="1"/>
  <c r="AR43" i="1" s="1"/>
  <c r="AU43" i="1"/>
  <c r="AU25" i="1" s="1"/>
  <c r="AV43" i="1"/>
  <c r="AW43" i="1"/>
  <c r="E44" i="1"/>
  <c r="F44" i="1"/>
  <c r="I44" i="1"/>
  <c r="J44" i="1"/>
  <c r="AF44" i="1"/>
  <c r="AG44" i="1"/>
  <c r="AL44" i="1"/>
  <c r="AM44" i="1"/>
  <c r="AT44" i="1"/>
  <c r="AT43" i="1" s="1"/>
  <c r="AU44" i="1"/>
  <c r="AU26" i="1" s="1"/>
  <c r="AV44" i="1"/>
  <c r="AW44" i="1" s="1"/>
  <c r="E45" i="1"/>
  <c r="F45" i="1" s="1"/>
  <c r="J45" i="1"/>
  <c r="O45" i="1"/>
  <c r="N45" i="1" s="1"/>
  <c r="P45" i="1" s="1"/>
  <c r="AL45" i="1" s="1"/>
  <c r="Q45" i="1"/>
  <c r="S45" i="1"/>
  <c r="S42" i="1" s="1"/>
  <c r="AF45" i="1"/>
  <c r="AG45" i="1"/>
  <c r="AJ45" i="1"/>
  <c r="AR45" i="1"/>
  <c r="AV45" i="1"/>
  <c r="AW45" i="1" s="1"/>
  <c r="BL45" i="1"/>
  <c r="E46" i="1"/>
  <c r="F46" i="1"/>
  <c r="J46" i="1"/>
  <c r="N46" i="1"/>
  <c r="O46" i="1"/>
  <c r="Q46" i="1" s="1"/>
  <c r="AF46" i="1"/>
  <c r="AG46" i="1"/>
  <c r="AJ46" i="1"/>
  <c r="AM46" i="1"/>
  <c r="AO46" i="1"/>
  <c r="AP46" i="1"/>
  <c r="AR46" i="1"/>
  <c r="AV46" i="1"/>
  <c r="AW46" i="1"/>
  <c r="E47" i="1"/>
  <c r="F47" i="1"/>
  <c r="I47" i="1"/>
  <c r="J47" i="1"/>
  <c r="O47" i="1"/>
  <c r="Q47" i="1"/>
  <c r="AF47" i="1"/>
  <c r="AG47" i="1"/>
  <c r="AI47" i="1"/>
  <c r="AJ47" i="1"/>
  <c r="AM47" i="1"/>
  <c r="AO47" i="1"/>
  <c r="AR47" i="1"/>
  <c r="AV47" i="1"/>
  <c r="AW47" i="1"/>
  <c r="O48" i="1"/>
  <c r="AF48" i="1"/>
  <c r="AG48" i="1"/>
  <c r="AJ48" i="1"/>
  <c r="AR48" i="1"/>
  <c r="AW48" i="1"/>
  <c r="AF49" i="1"/>
  <c r="AG49" i="1"/>
  <c r="AJ49" i="1"/>
  <c r="AP49" i="1" s="1"/>
  <c r="AM49" i="1"/>
  <c r="AO49" i="1"/>
  <c r="AR49" i="1"/>
  <c r="AV49" i="1"/>
  <c r="AW49" i="1"/>
  <c r="AF50" i="1"/>
  <c r="AG50" i="1"/>
  <c r="AJ50" i="1"/>
  <c r="AM50" i="1"/>
  <c r="AP50" i="1" s="1"/>
  <c r="AO50" i="1"/>
  <c r="AR50" i="1"/>
  <c r="AV50" i="1"/>
  <c r="AW50" i="1" s="1"/>
  <c r="N51" i="1"/>
  <c r="N52" i="1" s="1"/>
  <c r="P52" i="1" s="1"/>
  <c r="O51" i="1"/>
  <c r="P51" i="1"/>
  <c r="AL51" i="1" s="1"/>
  <c r="Q51" i="1"/>
  <c r="AF51" i="1"/>
  <c r="AG51" i="1"/>
  <c r="AJ51" i="1"/>
  <c r="AR51" i="1"/>
  <c r="AW51" i="1"/>
  <c r="O52" i="1"/>
  <c r="AF52" i="1"/>
  <c r="AG52" i="1"/>
  <c r="AJ52" i="1"/>
  <c r="AM52" i="1"/>
  <c r="AO52" i="1"/>
  <c r="AP52" i="1"/>
  <c r="AR52" i="1"/>
  <c r="AV52" i="1"/>
  <c r="AW52" i="1" s="1"/>
  <c r="AF53" i="1"/>
  <c r="AG53" i="1"/>
  <c r="AJ53" i="1"/>
  <c r="AM53" i="1"/>
  <c r="AO53" i="1"/>
  <c r="AP53" i="1"/>
  <c r="AR53" i="1"/>
  <c r="O54" i="1"/>
  <c r="N54" i="1" s="1"/>
  <c r="Q54" i="1"/>
  <c r="AF54" i="1"/>
  <c r="AG54" i="1"/>
  <c r="AJ54" i="1"/>
  <c r="AR54" i="1"/>
  <c r="AW54" i="1"/>
  <c r="AF55" i="1"/>
  <c r="AG55" i="1"/>
  <c r="AJ55" i="1"/>
  <c r="AM55" i="1"/>
  <c r="AP55" i="1" s="1"/>
  <c r="AO55" i="1"/>
  <c r="AR55" i="1"/>
  <c r="AV55" i="1"/>
  <c r="AW55" i="1"/>
  <c r="AF56" i="1"/>
  <c r="AG56" i="1"/>
  <c r="AJ56" i="1"/>
  <c r="AM56" i="1"/>
  <c r="AO56" i="1"/>
  <c r="AP56" i="1"/>
  <c r="AR56" i="1"/>
  <c r="AV56" i="1"/>
  <c r="AW56" i="1" s="1"/>
  <c r="S57" i="1"/>
  <c r="AF57" i="1"/>
  <c r="AG57" i="1"/>
  <c r="AJ57" i="1"/>
  <c r="AW57" i="1"/>
  <c r="AF58" i="1"/>
  <c r="AG58" i="1"/>
  <c r="AI58" i="1"/>
  <c r="AR58" i="1" s="1"/>
  <c r="AJ58" i="1"/>
  <c r="AL58" i="1"/>
  <c r="AM58" i="1"/>
  <c r="AP58" i="1" s="1"/>
  <c r="AO58" i="1"/>
  <c r="AT58" i="1"/>
  <c r="AT59" i="1" s="1"/>
  <c r="AV58" i="1"/>
  <c r="AW58" i="1"/>
  <c r="AF59" i="1"/>
  <c r="AG59" i="1"/>
  <c r="AI59" i="1"/>
  <c r="AR59" i="1" s="1"/>
  <c r="AJ59" i="1"/>
  <c r="AL59" i="1"/>
  <c r="AM59" i="1"/>
  <c r="AP59" i="1" s="1"/>
  <c r="AO59" i="1"/>
  <c r="AV59" i="1"/>
  <c r="AW59" i="1"/>
  <c r="O60" i="1"/>
  <c r="S60" i="1"/>
  <c r="AF60" i="1"/>
  <c r="AG60" i="1"/>
  <c r="AJ60" i="1"/>
  <c r="AR60" i="1"/>
  <c r="AW60" i="1"/>
  <c r="AF61" i="1"/>
  <c r="AG61" i="1"/>
  <c r="AJ61" i="1"/>
  <c r="AM61" i="1"/>
  <c r="AP61" i="1" s="1"/>
  <c r="AO61" i="1"/>
  <c r="AR61" i="1"/>
  <c r="AV61" i="1"/>
  <c r="AF62" i="1"/>
  <c r="AG62" i="1"/>
  <c r="AJ62" i="1"/>
  <c r="AM62" i="1"/>
  <c r="AP62" i="1" s="1"/>
  <c r="AO62" i="1"/>
  <c r="AR62" i="1"/>
  <c r="O63" i="1"/>
  <c r="AF63" i="1"/>
  <c r="AG63" i="1"/>
  <c r="AJ63" i="1"/>
  <c r="AR63" i="1"/>
  <c r="AW63" i="1"/>
  <c r="AF64" i="1"/>
  <c r="AG64" i="1"/>
  <c r="AJ64" i="1"/>
  <c r="AP64" i="1" s="1"/>
  <c r="AM64" i="1"/>
  <c r="AO64" i="1"/>
  <c r="AR64" i="1"/>
  <c r="AV64" i="1"/>
  <c r="AW64" i="1"/>
  <c r="AF65" i="1"/>
  <c r="AG65" i="1"/>
  <c r="AJ65" i="1"/>
  <c r="AM65" i="1"/>
  <c r="AP65" i="1" s="1"/>
  <c r="AO65" i="1"/>
  <c r="AR65" i="1"/>
  <c r="AV65" i="1"/>
  <c r="AW65" i="1" s="1"/>
  <c r="N66" i="1"/>
  <c r="N67" i="1" s="1"/>
  <c r="P67" i="1" s="1"/>
  <c r="O66" i="1"/>
  <c r="P66" i="1"/>
  <c r="AL66" i="1" s="1"/>
  <c r="Q66" i="1"/>
  <c r="AF66" i="1"/>
  <c r="AG66" i="1"/>
  <c r="AJ66" i="1"/>
  <c r="AR66" i="1"/>
  <c r="AW66" i="1"/>
  <c r="O67" i="1"/>
  <c r="AF67" i="1"/>
  <c r="AG67" i="1"/>
  <c r="AJ67" i="1"/>
  <c r="AM67" i="1"/>
  <c r="AO67" i="1"/>
  <c r="AP67" i="1"/>
  <c r="AR67" i="1"/>
  <c r="AV67" i="1"/>
  <c r="AW67" i="1" s="1"/>
  <c r="N68" i="1"/>
  <c r="P68" i="1" s="1"/>
  <c r="AF68" i="1"/>
  <c r="AG68" i="1"/>
  <c r="AJ68" i="1"/>
  <c r="AP68" i="1" s="1"/>
  <c r="AM68" i="1"/>
  <c r="AO68" i="1"/>
  <c r="AR68" i="1"/>
  <c r="O69" i="1"/>
  <c r="N69" i="1" s="1"/>
  <c r="Q69" i="1"/>
  <c r="AF69" i="1"/>
  <c r="AG69" i="1"/>
  <c r="AJ69" i="1"/>
  <c r="AR69" i="1"/>
  <c r="AW69" i="1"/>
  <c r="AF70" i="1"/>
  <c r="AG70" i="1"/>
  <c r="AJ70" i="1"/>
  <c r="AM70" i="1"/>
  <c r="AP70" i="1" s="1"/>
  <c r="AO70" i="1"/>
  <c r="AR70" i="1"/>
  <c r="AV70" i="1"/>
  <c r="AW70" i="1"/>
  <c r="AF71" i="1"/>
  <c r="AG71" i="1"/>
  <c r="AJ71" i="1"/>
  <c r="AM71" i="1"/>
  <c r="AO71" i="1"/>
  <c r="AP71" i="1"/>
  <c r="AR71" i="1"/>
  <c r="AV71" i="1"/>
  <c r="AW71" i="1" s="1"/>
  <c r="N72" i="1"/>
  <c r="O72" i="1"/>
  <c r="Q72" i="1" s="1"/>
  <c r="AF72" i="1"/>
  <c r="AG72" i="1"/>
  <c r="AJ72" i="1"/>
  <c r="AR72" i="1"/>
  <c r="AW72" i="1"/>
  <c r="O73" i="1"/>
  <c r="O74" i="1" s="1"/>
  <c r="Q74" i="1" s="1"/>
  <c r="Q73" i="1"/>
  <c r="AF73" i="1"/>
  <c r="AG73" i="1"/>
  <c r="AJ73" i="1"/>
  <c r="AM73" i="1"/>
  <c r="AP73" i="1" s="1"/>
  <c r="AO73" i="1"/>
  <c r="AR73" i="1"/>
  <c r="AV73" i="1"/>
  <c r="AF74" i="1"/>
  <c r="AG74" i="1"/>
  <c r="AJ74" i="1"/>
  <c r="AM74" i="1"/>
  <c r="AO74" i="1"/>
  <c r="AR74" i="1"/>
  <c r="O75" i="1"/>
  <c r="AF75" i="1"/>
  <c r="AG75" i="1"/>
  <c r="AJ75" i="1"/>
  <c r="AR75" i="1"/>
  <c r="AW75" i="1"/>
  <c r="AF76" i="1"/>
  <c r="AG76" i="1"/>
  <c r="AJ76" i="1"/>
  <c r="AP76" i="1" s="1"/>
  <c r="AM76" i="1"/>
  <c r="AO76" i="1"/>
  <c r="AR76" i="1"/>
  <c r="AV76" i="1"/>
  <c r="AW76" i="1"/>
  <c r="AF77" i="1"/>
  <c r="AG77" i="1"/>
  <c r="AJ77" i="1"/>
  <c r="AM77" i="1"/>
  <c r="AP77" i="1" s="1"/>
  <c r="AO77" i="1"/>
  <c r="AR77" i="1"/>
  <c r="AV77" i="1"/>
  <c r="AW77" i="1" s="1"/>
  <c r="N78" i="1"/>
  <c r="N79" i="1" s="1"/>
  <c r="O78" i="1"/>
  <c r="P78" i="1"/>
  <c r="Q78" i="1"/>
  <c r="AF78" i="1"/>
  <c r="AG78" i="1"/>
  <c r="AJ78" i="1"/>
  <c r="AL78" i="1"/>
  <c r="AR78" i="1"/>
  <c r="AW78" i="1"/>
  <c r="O79" i="1"/>
  <c r="P79" i="1"/>
  <c r="Q79" i="1"/>
  <c r="AF79" i="1"/>
  <c r="AG79" i="1"/>
  <c r="AJ79" i="1"/>
  <c r="AM79" i="1"/>
  <c r="AP79" i="1" s="1"/>
  <c r="AO79" i="1"/>
  <c r="AR79" i="1"/>
  <c r="AV79" i="1"/>
  <c r="N80" i="1"/>
  <c r="P80" i="1" s="1"/>
  <c r="O80" i="1"/>
  <c r="Q80" i="1" s="1"/>
  <c r="AF80" i="1"/>
  <c r="AG80" i="1"/>
  <c r="AJ80" i="1"/>
  <c r="AM80" i="1"/>
  <c r="AO80" i="1"/>
  <c r="AP80" i="1"/>
  <c r="AR80" i="1"/>
  <c r="O81" i="1"/>
  <c r="AF81" i="1"/>
  <c r="AG81" i="1"/>
  <c r="AJ81" i="1"/>
  <c r="AR81" i="1"/>
  <c r="AW81" i="1"/>
  <c r="AF82" i="1"/>
  <c r="AG82" i="1"/>
  <c r="AJ82" i="1"/>
  <c r="AM82" i="1"/>
  <c r="AP82" i="1" s="1"/>
  <c r="AO82" i="1"/>
  <c r="AR82" i="1"/>
  <c r="AV82" i="1"/>
  <c r="AW82" i="1"/>
  <c r="AF83" i="1"/>
  <c r="AG83" i="1"/>
  <c r="AJ83" i="1"/>
  <c r="AP83" i="1" s="1"/>
  <c r="AM83" i="1"/>
  <c r="AO83" i="1"/>
  <c r="AR83" i="1"/>
  <c r="AV83" i="1"/>
  <c r="AW83" i="1" s="1"/>
  <c r="E84" i="1"/>
  <c r="F84" i="1"/>
  <c r="N84" i="1"/>
  <c r="P84" i="1" s="1"/>
  <c r="Q84" i="1"/>
  <c r="AF84" i="1"/>
  <c r="AG84" i="1"/>
  <c r="AL84" i="1"/>
  <c r="AM84" i="1"/>
  <c r="AO84" i="1"/>
  <c r="AP84" i="1"/>
  <c r="AR84" i="1"/>
  <c r="AV84" i="1"/>
  <c r="AW84" i="1"/>
  <c r="E85" i="1"/>
  <c r="F85" i="1"/>
  <c r="O85" i="1"/>
  <c r="Q85" i="1" s="1"/>
  <c r="AF85" i="1"/>
  <c r="AG85" i="1"/>
  <c r="AM85" i="1"/>
  <c r="AP85" i="1" s="1"/>
  <c r="AO85" i="1"/>
  <c r="AR85" i="1"/>
  <c r="AT85" i="1"/>
  <c r="AV85" i="1"/>
  <c r="AV86" i="1" s="1"/>
  <c r="AW86" i="1" s="1"/>
  <c r="E86" i="1"/>
  <c r="F86" i="1"/>
  <c r="I86" i="1"/>
  <c r="O86" i="1"/>
  <c r="Q86" i="1" s="1"/>
  <c r="AF86" i="1"/>
  <c r="AG86" i="1"/>
  <c r="AI86" i="1"/>
  <c r="AJ86" i="1"/>
  <c r="AL86" i="1"/>
  <c r="AM86" i="1"/>
  <c r="AP86" i="1" s="1"/>
  <c r="AO86" i="1"/>
  <c r="AR86" i="1"/>
  <c r="AT86" i="1"/>
  <c r="N87" i="1"/>
  <c r="P87" i="1"/>
  <c r="Q87" i="1"/>
  <c r="AF87" i="1"/>
  <c r="AG87" i="1"/>
  <c r="AJ87" i="1"/>
  <c r="AL87" i="1"/>
  <c r="AO87" i="1" s="1"/>
  <c r="AM87" i="1"/>
  <c r="AP87" i="1"/>
  <c r="AR87" i="1"/>
  <c r="AV87" i="1"/>
  <c r="AV88" i="1" s="1"/>
  <c r="AW88" i="1" s="1"/>
  <c r="N88" i="1"/>
  <c r="O88" i="1"/>
  <c r="Q88" i="1" s="1"/>
  <c r="AF88" i="1"/>
  <c r="AG88" i="1"/>
  <c r="AJ88" i="1"/>
  <c r="AL88" i="1"/>
  <c r="AM88" i="1"/>
  <c r="AP88" i="1" s="1"/>
  <c r="AO88" i="1"/>
  <c r="AR88" i="1"/>
  <c r="AT88" i="1"/>
  <c r="O89" i="1"/>
  <c r="Q89" i="1" s="1"/>
  <c r="AF89" i="1"/>
  <c r="AG89" i="1"/>
  <c r="AJ89" i="1"/>
  <c r="AL89" i="1"/>
  <c r="AM89" i="1" s="1"/>
  <c r="AP89" i="1" s="1"/>
  <c r="AO89" i="1"/>
  <c r="AR89" i="1"/>
  <c r="AV89" i="1"/>
  <c r="AW89" i="1" s="1"/>
  <c r="N90" i="1"/>
  <c r="P90" i="1" s="1"/>
  <c r="Q90" i="1"/>
  <c r="AF90" i="1"/>
  <c r="AG90" i="1"/>
  <c r="AJ90" i="1"/>
  <c r="AL90" i="1"/>
  <c r="AR90" i="1" s="1"/>
  <c r="O91" i="1"/>
  <c r="AF91" i="1"/>
  <c r="AG91" i="1"/>
  <c r="AJ91" i="1"/>
  <c r="AL91" i="1"/>
  <c r="AL92" i="1" s="1"/>
  <c r="AO91" i="1"/>
  <c r="AR91" i="1"/>
  <c r="AF92" i="1"/>
  <c r="AG92" i="1"/>
  <c r="AJ92" i="1"/>
  <c r="O93" i="1"/>
  <c r="N93" i="1" s="1"/>
  <c r="Q93" i="1"/>
  <c r="S93" i="1"/>
  <c r="AF93" i="1"/>
  <c r="AG93" i="1"/>
  <c r="AJ93" i="1"/>
  <c r="O94" i="1"/>
  <c r="O95" i="1" s="1"/>
  <c r="Q95" i="1" s="1"/>
  <c r="Q94" i="1"/>
  <c r="AF94" i="1"/>
  <c r="AG94" i="1"/>
  <c r="AJ94" i="1"/>
  <c r="AL94" i="1"/>
  <c r="AR94" i="1"/>
  <c r="AF95" i="1"/>
  <c r="AG95" i="1"/>
  <c r="AJ95" i="1"/>
  <c r="O96" i="1"/>
  <c r="S96" i="1"/>
  <c r="AF96" i="1"/>
  <c r="AG96" i="1"/>
  <c r="AJ96" i="1"/>
  <c r="O97" i="1"/>
  <c r="AF97" i="1"/>
  <c r="AG97" i="1"/>
  <c r="AJ97" i="1"/>
  <c r="AL97" i="1"/>
  <c r="AL98" i="1" s="1"/>
  <c r="AO97" i="1"/>
  <c r="AR97" i="1"/>
  <c r="AF98" i="1"/>
  <c r="AG98" i="1"/>
  <c r="AJ98" i="1"/>
  <c r="E99" i="1"/>
  <c r="F99" i="1"/>
  <c r="J99" i="1"/>
  <c r="N99" i="1"/>
  <c r="Q99" i="1"/>
  <c r="AF99" i="1"/>
  <c r="AG99" i="1"/>
  <c r="AM99" i="1"/>
  <c r="AP99" i="1" s="1"/>
  <c r="AO99" i="1"/>
  <c r="AR99" i="1"/>
  <c r="AV99" i="1"/>
  <c r="AW99" i="1"/>
  <c r="E100" i="1"/>
  <c r="F100" i="1"/>
  <c r="J100" i="1"/>
  <c r="O100" i="1"/>
  <c r="Q100" i="1"/>
  <c r="AF100" i="1"/>
  <c r="AG100" i="1"/>
  <c r="AJ100" i="1"/>
  <c r="AM100" i="1"/>
  <c r="AO100" i="1"/>
  <c r="AR100" i="1"/>
  <c r="AT100" i="1"/>
  <c r="AV100" i="1"/>
  <c r="AV101" i="1" s="1"/>
  <c r="AW100" i="1"/>
  <c r="E101" i="1"/>
  <c r="J101" i="1"/>
  <c r="F101" i="1" s="1"/>
  <c r="O101" i="1"/>
  <c r="Q101" i="1" s="1"/>
  <c r="AF101" i="1"/>
  <c r="AG101" i="1"/>
  <c r="AI101" i="1"/>
  <c r="AJ101" i="1"/>
  <c r="AL101" i="1"/>
  <c r="AO101" i="1" s="1"/>
  <c r="AM101" i="1"/>
  <c r="AR101" i="1"/>
  <c r="AT101" i="1"/>
  <c r="F102" i="1"/>
  <c r="J102" i="1"/>
  <c r="AJ102" i="1"/>
  <c r="AM102" i="1"/>
  <c r="AO102" i="1"/>
  <c r="AP102" i="1"/>
  <c r="AR102" i="1"/>
  <c r="AS102" i="1"/>
  <c r="AV102" i="1"/>
  <c r="AW102" i="1"/>
  <c r="I103" i="1"/>
  <c r="V103" i="1"/>
  <c r="Y103" i="1"/>
  <c r="Z103" i="1"/>
  <c r="AA103" i="1"/>
  <c r="AB103" i="1"/>
  <c r="AS103" i="1"/>
  <c r="AT103" i="1"/>
  <c r="AU103" i="1"/>
  <c r="AX103" i="1"/>
  <c r="AY103" i="1"/>
  <c r="AZ103" i="1"/>
  <c r="BA103" i="1"/>
  <c r="BB103" i="1"/>
  <c r="BD103" i="1"/>
  <c r="BE103" i="1"/>
  <c r="BF103" i="1"/>
  <c r="BG103" i="1"/>
  <c r="BH103" i="1"/>
  <c r="BI103" i="1"/>
  <c r="BJ103" i="1"/>
  <c r="BK103" i="1"/>
  <c r="BN103" i="1"/>
  <c r="BO103" i="1"/>
  <c r="BP103" i="1"/>
  <c r="BQ103" i="1"/>
  <c r="M104" i="1"/>
  <c r="V104" i="1"/>
  <c r="Z104" i="1"/>
  <c r="BA104" i="1"/>
  <c r="BE104" i="1"/>
  <c r="BI104" i="1"/>
  <c r="BN104" i="1"/>
  <c r="E105" i="1"/>
  <c r="E104" i="1" s="1"/>
  <c r="K105" i="1"/>
  <c r="K104" i="1" s="1"/>
  <c r="L105" i="1"/>
  <c r="M105" i="1"/>
  <c r="R105" i="1"/>
  <c r="S105" i="1"/>
  <c r="S104" i="1" s="1"/>
  <c r="V105" i="1"/>
  <c r="Y105" i="1"/>
  <c r="Y104" i="1" s="1"/>
  <c r="Z105" i="1"/>
  <c r="AA105" i="1"/>
  <c r="AA104" i="1" s="1"/>
  <c r="AB105" i="1"/>
  <c r="AC105" i="1"/>
  <c r="AD105" i="1"/>
  <c r="AE105" i="1"/>
  <c r="AE104" i="1" s="1"/>
  <c r="AI105" i="1"/>
  <c r="AS105" i="1"/>
  <c r="AT105" i="1"/>
  <c r="AX105" i="1"/>
  <c r="AX104" i="1" s="1"/>
  <c r="AY105" i="1"/>
  <c r="AZ105" i="1"/>
  <c r="AZ104" i="1" s="1"/>
  <c r="BA105" i="1"/>
  <c r="BB105" i="1"/>
  <c r="BB104" i="1" s="1"/>
  <c r="BC105" i="1"/>
  <c r="BD105" i="1"/>
  <c r="BD104" i="1" s="1"/>
  <c r="BE105" i="1"/>
  <c r="BF105" i="1"/>
  <c r="BF104" i="1" s="1"/>
  <c r="BG105" i="1"/>
  <c r="BH105" i="1"/>
  <c r="BH104" i="1" s="1"/>
  <c r="BI105" i="1"/>
  <c r="BJ105" i="1"/>
  <c r="BJ104" i="1" s="1"/>
  <c r="BK105" i="1"/>
  <c r="BL105" i="1"/>
  <c r="BL104" i="1" s="1"/>
  <c r="BN105" i="1"/>
  <c r="BO105" i="1"/>
  <c r="BO104" i="1" s="1"/>
  <c r="BQ105" i="1"/>
  <c r="BQ104" i="1" s="1"/>
  <c r="E106" i="1"/>
  <c r="E16" i="1" s="1"/>
  <c r="E12" i="1" s="1"/>
  <c r="K106" i="1"/>
  <c r="L106" i="1"/>
  <c r="M106" i="1"/>
  <c r="R106" i="1"/>
  <c r="S106" i="1"/>
  <c r="T106" i="1"/>
  <c r="T16" i="1" s="1"/>
  <c r="T12" i="1" s="1"/>
  <c r="U106" i="1"/>
  <c r="U16" i="1" s="1"/>
  <c r="U12" i="1" s="1"/>
  <c r="V106" i="1"/>
  <c r="W106" i="1"/>
  <c r="W16" i="1" s="1"/>
  <c r="W12" i="1" s="1"/>
  <c r="X106" i="1"/>
  <c r="X16" i="1" s="1"/>
  <c r="X12" i="1" s="1"/>
  <c r="Y106" i="1"/>
  <c r="Z106" i="1"/>
  <c r="Z16" i="1" s="1"/>
  <c r="Z12" i="1" s="1"/>
  <c r="AA106" i="1"/>
  <c r="AA16" i="1" s="1"/>
  <c r="AA12" i="1" s="1"/>
  <c r="AB106" i="1"/>
  <c r="AB104" i="1" s="1"/>
  <c r="AE106" i="1"/>
  <c r="AX106" i="1"/>
  <c r="AY106" i="1"/>
  <c r="AY16" i="1" s="1"/>
  <c r="AY12" i="1" s="1"/>
  <c r="AZ106" i="1"/>
  <c r="AZ16" i="1" s="1"/>
  <c r="AZ12" i="1" s="1"/>
  <c r="BA106" i="1"/>
  <c r="BA16" i="1" s="1"/>
  <c r="BA12" i="1" s="1"/>
  <c r="BB106" i="1"/>
  <c r="BB16" i="1" s="1"/>
  <c r="BB12" i="1" s="1"/>
  <c r="BC106" i="1"/>
  <c r="BC16" i="1" s="1"/>
  <c r="BC12" i="1" s="1"/>
  <c r="BD106" i="1"/>
  <c r="BD16" i="1" s="1"/>
  <c r="BD12" i="1" s="1"/>
  <c r="BE106" i="1"/>
  <c r="BE16" i="1" s="1"/>
  <c r="BE12" i="1" s="1"/>
  <c r="BF106" i="1"/>
  <c r="BF16" i="1" s="1"/>
  <c r="BF12" i="1" s="1"/>
  <c r="BG106" i="1"/>
  <c r="BG16" i="1" s="1"/>
  <c r="BG12" i="1" s="1"/>
  <c r="BH106" i="1"/>
  <c r="BH16" i="1" s="1"/>
  <c r="BH12" i="1" s="1"/>
  <c r="BI106" i="1"/>
  <c r="BI16" i="1" s="1"/>
  <c r="BI12" i="1" s="1"/>
  <c r="BJ106" i="1"/>
  <c r="BJ16" i="1" s="1"/>
  <c r="BJ12" i="1" s="1"/>
  <c r="BK106" i="1"/>
  <c r="BK16" i="1" s="1"/>
  <c r="BK12" i="1" s="1"/>
  <c r="BL106" i="1"/>
  <c r="BL16" i="1" s="1"/>
  <c r="BL12" i="1" s="1"/>
  <c r="BN106" i="1"/>
  <c r="BN16" i="1" s="1"/>
  <c r="BN12" i="1" s="1"/>
  <c r="BO106" i="1"/>
  <c r="BO16" i="1" s="1"/>
  <c r="BO12" i="1" s="1"/>
  <c r="BP106" i="1"/>
  <c r="BP16" i="1" s="1"/>
  <c r="BP12" i="1" s="1"/>
  <c r="BQ106" i="1"/>
  <c r="BQ16" i="1" s="1"/>
  <c r="BQ12" i="1" s="1"/>
  <c r="E107" i="1"/>
  <c r="E103" i="1" s="1"/>
  <c r="H107" i="1"/>
  <c r="H103" i="1" s="1"/>
  <c r="J107" i="1"/>
  <c r="J103" i="1" s="1"/>
  <c r="P107" i="1"/>
  <c r="S107" i="1"/>
  <c r="S103" i="1" s="1"/>
  <c r="T107" i="1"/>
  <c r="T103" i="1" s="1"/>
  <c r="U107" i="1"/>
  <c r="U103" i="1" s="1"/>
  <c r="W107" i="1"/>
  <c r="W103" i="1" s="1"/>
  <c r="X107" i="1"/>
  <c r="X103" i="1" s="1"/>
  <c r="AE107" i="1"/>
  <c r="AE103" i="1" s="1"/>
  <c r="AH107" i="1"/>
  <c r="AH103" i="1" s="1"/>
  <c r="AJ107" i="1"/>
  <c r="AL107" i="1"/>
  <c r="AL103" i="1" s="1"/>
  <c r="AO107" i="1"/>
  <c r="AQ107" i="1"/>
  <c r="AV107" i="1"/>
  <c r="BC107" i="1"/>
  <c r="E108" i="1"/>
  <c r="F108" i="1"/>
  <c r="J108" i="1"/>
  <c r="P108" i="1"/>
  <c r="T108" i="1"/>
  <c r="U108" i="1" s="1"/>
  <c r="W108" i="1"/>
  <c r="AH108" i="1"/>
  <c r="AO108" i="1"/>
  <c r="AP108" i="1"/>
  <c r="AQ108" i="1"/>
  <c r="AR108" i="1"/>
  <c r="AW108" i="1"/>
  <c r="E109" i="1"/>
  <c r="F109" i="1" s="1"/>
  <c r="I109" i="1"/>
  <c r="T109" i="1"/>
  <c r="T105" i="1" s="1"/>
  <c r="T104" i="1" s="1"/>
  <c r="AH109" i="1"/>
  <c r="AO109" i="1"/>
  <c r="AP109" i="1"/>
  <c r="AQ109" i="1"/>
  <c r="AR109" i="1"/>
  <c r="AV109" i="1"/>
  <c r="AW109" i="1"/>
  <c r="E110" i="1"/>
  <c r="F110" i="1"/>
  <c r="H110" i="1"/>
  <c r="J110" i="1"/>
  <c r="O110" i="1"/>
  <c r="P110" i="1"/>
  <c r="S110" i="1"/>
  <c r="AF110" i="1"/>
  <c r="AG110" i="1"/>
  <c r="AH110" i="1"/>
  <c r="AM110" i="1"/>
  <c r="AO110" i="1"/>
  <c r="AP110" i="1"/>
  <c r="AQ110" i="1"/>
  <c r="AR110" i="1"/>
  <c r="AW110" i="1"/>
  <c r="BC110" i="1"/>
  <c r="E111" i="1"/>
  <c r="F111" i="1"/>
  <c r="J111" i="1"/>
  <c r="N111" i="1"/>
  <c r="O111" i="1" s="1"/>
  <c r="AF111" i="1"/>
  <c r="AG111" i="1"/>
  <c r="AH111" i="1"/>
  <c r="AO111" i="1"/>
  <c r="AP111" i="1"/>
  <c r="AQ111" i="1"/>
  <c r="AR111" i="1"/>
  <c r="AW111" i="1"/>
  <c r="E112" i="1"/>
  <c r="F112" i="1" s="1"/>
  <c r="I112" i="1"/>
  <c r="J112" i="1" s="1"/>
  <c r="N112" i="1"/>
  <c r="O112" i="1" s="1"/>
  <c r="AF112" i="1"/>
  <c r="AG112" i="1"/>
  <c r="AH112" i="1"/>
  <c r="AO112" i="1"/>
  <c r="AP112" i="1"/>
  <c r="AQ112" i="1"/>
  <c r="AR112" i="1"/>
  <c r="AW112" i="1"/>
  <c r="F113" i="1"/>
  <c r="H113" i="1"/>
  <c r="J113" i="1"/>
  <c r="N113" i="1"/>
  <c r="P113" i="1"/>
  <c r="AC113" i="1"/>
  <c r="AF113" i="1" s="1"/>
  <c r="AD113" i="1"/>
  <c r="AG113" i="1"/>
  <c r="AH113" i="1"/>
  <c r="AI113" i="1"/>
  <c r="AK113" i="1"/>
  <c r="AQ113" i="1" s="1"/>
  <c r="AL113" i="1"/>
  <c r="AM113" i="1"/>
  <c r="AN113" i="1"/>
  <c r="AN103" i="1" s="1"/>
  <c r="AO113" i="1"/>
  <c r="BC113" i="1" s="1"/>
  <c r="AV113" i="1"/>
  <c r="AW113" i="1" s="1"/>
  <c r="BL113" i="1"/>
  <c r="F114" i="1"/>
  <c r="J114" i="1"/>
  <c r="N114" i="1"/>
  <c r="O114" i="1"/>
  <c r="P114" i="1"/>
  <c r="Q114" i="1"/>
  <c r="AC114" i="1"/>
  <c r="AD114" i="1" s="1"/>
  <c r="AG114" i="1" s="1"/>
  <c r="AF114" i="1"/>
  <c r="AS114" i="1" s="1"/>
  <c r="AS115" i="1" s="1"/>
  <c r="AS106" i="1" s="1"/>
  <c r="AH114" i="1"/>
  <c r="AI114" i="1"/>
  <c r="AJ114" i="1"/>
  <c r="AP114" i="1" s="1"/>
  <c r="AL114" i="1"/>
  <c r="AO114" i="1" s="1"/>
  <c r="AM114" i="1"/>
  <c r="AQ114" i="1"/>
  <c r="AR114" i="1"/>
  <c r="AT114" i="1"/>
  <c r="AT115" i="1" s="1"/>
  <c r="AT106" i="1" s="1"/>
  <c r="AT16" i="1" s="1"/>
  <c r="AT12" i="1" s="1"/>
  <c r="AV114" i="1"/>
  <c r="AW114" i="1" s="1"/>
  <c r="F115" i="1"/>
  <c r="F106" i="1" s="1"/>
  <c r="F16" i="1" s="1"/>
  <c r="F12" i="1" s="1"/>
  <c r="I115" i="1"/>
  <c r="I106" i="1" s="1"/>
  <c r="I16" i="1" s="1"/>
  <c r="I12" i="1" s="1"/>
  <c r="J115" i="1"/>
  <c r="J106" i="1" s="1"/>
  <c r="J16" i="1" s="1"/>
  <c r="J12" i="1" s="1"/>
  <c r="O115" i="1"/>
  <c r="Q115" i="1"/>
  <c r="Q106" i="1" s="1"/>
  <c r="Q16" i="1" s="1"/>
  <c r="Q12" i="1" s="1"/>
  <c r="AH115" i="1"/>
  <c r="AH106" i="1" s="1"/>
  <c r="AI115" i="1"/>
  <c r="AL115" i="1"/>
  <c r="AL106" i="1" s="1"/>
  <c r="AL16" i="1" s="1"/>
  <c r="AL12" i="1" s="1"/>
  <c r="AO115" i="1"/>
  <c r="AO106" i="1" s="1"/>
  <c r="AO16" i="1" s="1"/>
  <c r="AO12" i="1" s="1"/>
  <c r="AQ115" i="1"/>
  <c r="F116" i="1"/>
  <c r="H116" i="1"/>
  <c r="J116" i="1"/>
  <c r="N116" i="1"/>
  <c r="O116" i="1"/>
  <c r="P116" i="1"/>
  <c r="Q116" i="1"/>
  <c r="S116" i="1"/>
  <c r="AF116" i="1"/>
  <c r="AG116" i="1"/>
  <c r="AH116" i="1"/>
  <c r="AI116" i="1"/>
  <c r="AK116" i="1"/>
  <c r="AL116" i="1"/>
  <c r="AM116" i="1"/>
  <c r="AN116" i="1"/>
  <c r="AQ116" i="1"/>
  <c r="AV116" i="1"/>
  <c r="AW116" i="1" s="1"/>
  <c r="F117" i="1"/>
  <c r="J117" i="1"/>
  <c r="N117" i="1"/>
  <c r="O117" i="1"/>
  <c r="P117" i="1"/>
  <c r="Q117" i="1"/>
  <c r="AF117" i="1"/>
  <c r="AG117" i="1"/>
  <c r="AH117" i="1"/>
  <c r="AJ117" i="1"/>
  <c r="AL117" i="1"/>
  <c r="AQ117" i="1"/>
  <c r="E118" i="1"/>
  <c r="F118" i="1" s="1"/>
  <c r="I118" i="1"/>
  <c r="J118" i="1" s="1"/>
  <c r="N118" i="1"/>
  <c r="O118" i="1"/>
  <c r="P118" i="1"/>
  <c r="Q118" i="1"/>
  <c r="AF118" i="1"/>
  <c r="AG118" i="1"/>
  <c r="AH118" i="1"/>
  <c r="AI118" i="1"/>
  <c r="AJ118" i="1"/>
  <c r="AJ105" i="1" s="1"/>
  <c r="AQ118" i="1"/>
  <c r="BP118" i="1"/>
  <c r="BI119" i="1"/>
  <c r="BN119" i="1"/>
  <c r="S120" i="1"/>
  <c r="V120" i="1"/>
  <c r="Y120" i="1"/>
  <c r="BN120" i="1"/>
  <c r="S121" i="1"/>
  <c r="V121" i="1"/>
  <c r="Y121" i="1"/>
  <c r="BN121" i="1"/>
  <c r="E122" i="1"/>
  <c r="H122" i="1"/>
  <c r="I122" i="1"/>
  <c r="J122" i="1"/>
  <c r="Q122" i="1"/>
  <c r="S122" i="1"/>
  <c r="AI122" i="1"/>
  <c r="AR122" i="1" s="1"/>
  <c r="AK122" i="1"/>
  <c r="AL122" i="1"/>
  <c r="AN122" i="1"/>
  <c r="AO122" i="1"/>
  <c r="AS122" i="1"/>
  <c r="AT122" i="1"/>
  <c r="AU122" i="1"/>
  <c r="AW122" i="1"/>
  <c r="AX122" i="1"/>
  <c r="AY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O122" i="1"/>
  <c r="BP122" i="1"/>
  <c r="BQ122" i="1"/>
  <c r="I123" i="1"/>
  <c r="AI123" i="1"/>
  <c r="AK123" i="1"/>
  <c r="AN123" i="1"/>
  <c r="AS123" i="1"/>
  <c r="AU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O123" i="1"/>
  <c r="BP123" i="1"/>
  <c r="BQ123" i="1"/>
  <c r="F124" i="1"/>
  <c r="F122" i="1" s="1"/>
  <c r="J124" i="1"/>
  <c r="O124" i="1"/>
  <c r="P124" i="1"/>
  <c r="AF124" i="1"/>
  <c r="AG124" i="1"/>
  <c r="AH124" i="1"/>
  <c r="AJ124" i="1"/>
  <c r="AJ122" i="1" s="1"/>
  <c r="AM124" i="1"/>
  <c r="AM122" i="1" s="1"/>
  <c r="AO124" i="1"/>
  <c r="AQ124" i="1"/>
  <c r="AV124" i="1"/>
  <c r="AV122" i="1" s="1"/>
  <c r="AW124" i="1"/>
  <c r="AX124" i="1"/>
  <c r="AZ124" i="1"/>
  <c r="AZ122" i="1" s="1"/>
  <c r="I125" i="1"/>
  <c r="J125" i="1"/>
  <c r="J123" i="1" s="1"/>
  <c r="Q125" i="1"/>
  <c r="AF125" i="1"/>
  <c r="AG125" i="1"/>
  <c r="AH125" i="1"/>
  <c r="E126" i="1"/>
  <c r="J126" i="1"/>
  <c r="AF126" i="1"/>
  <c r="AG126" i="1"/>
  <c r="AH126" i="1"/>
  <c r="AI126" i="1"/>
  <c r="AJ126" i="1" s="1"/>
  <c r="AJ125" i="1" s="1"/>
  <c r="AJ123" i="1" s="1"/>
  <c r="AL126" i="1"/>
  <c r="AT126" i="1"/>
  <c r="O127" i="1"/>
  <c r="O122" i="1" s="1"/>
  <c r="P127" i="1"/>
  <c r="N127" i="1" s="1"/>
  <c r="AM127" i="1"/>
  <c r="AO127" i="1"/>
  <c r="AQ127" i="1"/>
  <c r="AR127" i="1"/>
  <c r="AV127" i="1"/>
  <c r="AW127" i="1"/>
  <c r="Q128" i="1"/>
  <c r="AM128" i="1"/>
  <c r="AO128" i="1"/>
  <c r="AR128" i="1"/>
  <c r="AT128" i="1"/>
  <c r="AV128" i="1"/>
  <c r="AW128" i="1" s="1"/>
  <c r="AL129" i="1"/>
  <c r="AM129" i="1"/>
  <c r="AR129" i="1"/>
  <c r="E130" i="1"/>
  <c r="H130" i="1"/>
  <c r="I130" i="1"/>
  <c r="J130" i="1"/>
  <c r="Q130" i="1"/>
  <c r="S130" i="1"/>
  <c r="AK130" i="1"/>
  <c r="AL130" i="1"/>
  <c r="AS130" i="1"/>
  <c r="AT130" i="1"/>
  <c r="AU130" i="1"/>
  <c r="AY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O130" i="1"/>
  <c r="BP130" i="1"/>
  <c r="BQ130" i="1"/>
  <c r="O131" i="1"/>
  <c r="AK131" i="1"/>
  <c r="AN131" i="1"/>
  <c r="AQ131" i="1" s="1"/>
  <c r="AS131" i="1"/>
  <c r="AU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O131" i="1"/>
  <c r="BP131" i="1"/>
  <c r="BQ131" i="1"/>
  <c r="F132" i="1"/>
  <c r="F130" i="1" s="1"/>
  <c r="J132" i="1"/>
  <c r="O132" i="1"/>
  <c r="P132" i="1"/>
  <c r="AF132" i="1"/>
  <c r="AG132" i="1"/>
  <c r="AH132" i="1"/>
  <c r="AI132" i="1"/>
  <c r="AK132" i="1"/>
  <c r="AO136" i="1" s="1"/>
  <c r="AM132" i="1"/>
  <c r="AN132" i="1"/>
  <c r="AV132" i="1"/>
  <c r="AX132" i="1"/>
  <c r="AX130" i="1" s="1"/>
  <c r="I133" i="1"/>
  <c r="I131" i="1" s="1"/>
  <c r="N133" i="1"/>
  <c r="O133" i="1"/>
  <c r="P133" i="1"/>
  <c r="Q133" i="1"/>
  <c r="AF133" i="1"/>
  <c r="AG133" i="1"/>
  <c r="AH133" i="1"/>
  <c r="AI133" i="1"/>
  <c r="AI131" i="1" s="1"/>
  <c r="E134" i="1"/>
  <c r="F134" i="1" s="1"/>
  <c r="F133" i="1" s="1"/>
  <c r="F131" i="1" s="1"/>
  <c r="J134" i="1"/>
  <c r="J133" i="1" s="1"/>
  <c r="J131" i="1" s="1"/>
  <c r="O134" i="1"/>
  <c r="Q134" i="1"/>
  <c r="P134" i="1" s="1"/>
  <c r="N134" i="1" s="1"/>
  <c r="AF134" i="1"/>
  <c r="AG134" i="1"/>
  <c r="AH134" i="1"/>
  <c r="AI134" i="1"/>
  <c r="AJ134" i="1" s="1"/>
  <c r="AJ133" i="1" s="1"/>
  <c r="AJ131" i="1" s="1"/>
  <c r="AL134" i="1"/>
  <c r="AT134" i="1"/>
  <c r="O135" i="1"/>
  <c r="O130" i="1" s="1"/>
  <c r="P135" i="1"/>
  <c r="N135" i="1" s="1"/>
  <c r="AM135" i="1"/>
  <c r="AM130" i="1" s="1"/>
  <c r="AN135" i="1"/>
  <c r="AO135" i="1"/>
  <c r="AP135" i="1" s="1"/>
  <c r="AQ135" i="1"/>
  <c r="AR135" i="1"/>
  <c r="AV135" i="1"/>
  <c r="AW135" i="1" s="1"/>
  <c r="O136" i="1"/>
  <c r="Q136" i="1"/>
  <c r="P136" i="1" s="1"/>
  <c r="N136" i="1" s="1"/>
  <c r="AL136" i="1"/>
  <c r="AM136" i="1"/>
  <c r="AR136" i="1"/>
  <c r="AT136" i="1"/>
  <c r="AV136" i="1"/>
  <c r="AW136" i="1"/>
  <c r="O137" i="1"/>
  <c r="Q137" i="1"/>
  <c r="P137" i="1" s="1"/>
  <c r="N137" i="1" s="1"/>
  <c r="AL137" i="1"/>
  <c r="AM137" i="1"/>
  <c r="AR137" i="1"/>
  <c r="AT137" i="1"/>
  <c r="AV137" i="1"/>
  <c r="AW137" i="1"/>
  <c r="E138" i="1"/>
  <c r="F138" i="1"/>
  <c r="H138" i="1"/>
  <c r="I138" i="1"/>
  <c r="Q138" i="1"/>
  <c r="S138" i="1"/>
  <c r="AL138" i="1"/>
  <c r="AO138" i="1" s="1"/>
  <c r="AS138" i="1"/>
  <c r="AT138" i="1"/>
  <c r="AU138" i="1"/>
  <c r="AX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O138" i="1"/>
  <c r="BP138" i="1"/>
  <c r="BQ138" i="1"/>
  <c r="I139" i="1"/>
  <c r="AK139" i="1"/>
  <c r="AQ139" i="1" s="1"/>
  <c r="AN139" i="1"/>
  <c r="AS139" i="1"/>
  <c r="AU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O139" i="1"/>
  <c r="BP139" i="1"/>
  <c r="BQ139" i="1"/>
  <c r="F140" i="1"/>
  <c r="J140" i="1"/>
  <c r="J138" i="1" s="1"/>
  <c r="N140" i="1"/>
  <c r="O140" i="1"/>
  <c r="O138" i="1" s="1"/>
  <c r="P140" i="1"/>
  <c r="AF140" i="1"/>
  <c r="AG140" i="1"/>
  <c r="AH140" i="1"/>
  <c r="AI140" i="1"/>
  <c r="AI138" i="1" s="1"/>
  <c r="AJ140" i="1"/>
  <c r="AK140" i="1"/>
  <c r="AK138" i="1" s="1"/>
  <c r="AL140" i="1"/>
  <c r="AO140" i="1" s="1"/>
  <c r="AN140" i="1"/>
  <c r="AV140" i="1"/>
  <c r="AX140" i="1"/>
  <c r="AZ140" i="1"/>
  <c r="AZ138" i="1" s="1"/>
  <c r="I141" i="1"/>
  <c r="J141" i="1"/>
  <c r="J139" i="1" s="1"/>
  <c r="Q141" i="1"/>
  <c r="AF141" i="1"/>
  <c r="AG141" i="1"/>
  <c r="AH141" i="1"/>
  <c r="AI141" i="1"/>
  <c r="AL141" i="1"/>
  <c r="AL139" i="1" s="1"/>
  <c r="AO141" i="1"/>
  <c r="AT141" i="1"/>
  <c r="AT139" i="1" s="1"/>
  <c r="E142" i="1"/>
  <c r="E141" i="1" s="1"/>
  <c r="F142" i="1"/>
  <c r="F141" i="1" s="1"/>
  <c r="F139" i="1" s="1"/>
  <c r="J142" i="1"/>
  <c r="AF142" i="1"/>
  <c r="AG142" i="1"/>
  <c r="AH142" i="1"/>
  <c r="AL142" i="1"/>
  <c r="AM142" i="1"/>
  <c r="AM141" i="1" s="1"/>
  <c r="AM139" i="1" s="1"/>
  <c r="AT142" i="1"/>
  <c r="N143" i="1"/>
  <c r="N138" i="1" s="1"/>
  <c r="O143" i="1"/>
  <c r="P143" i="1"/>
  <c r="P138" i="1" s="1"/>
  <c r="AM143" i="1"/>
  <c r="AO143" i="1"/>
  <c r="AQ143" i="1"/>
  <c r="AR143" i="1"/>
  <c r="AV143" i="1"/>
  <c r="AW143" i="1" s="1"/>
  <c r="P144" i="1"/>
  <c r="N144" i="1" s="1"/>
  <c r="Q144" i="1"/>
  <c r="O144" i="1" s="1"/>
  <c r="AM144" i="1"/>
  <c r="AR144" i="1"/>
  <c r="AT144" i="1"/>
  <c r="AV144" i="1"/>
  <c r="AW144" i="1"/>
  <c r="Q145" i="1"/>
  <c r="AL145" i="1"/>
  <c r="AM145" i="1"/>
  <c r="AR145" i="1"/>
  <c r="AT145" i="1"/>
  <c r="E146" i="1"/>
  <c r="H146" i="1"/>
  <c r="I146" i="1"/>
  <c r="I119" i="1" s="1"/>
  <c r="Q146" i="1"/>
  <c r="S146" i="1"/>
  <c r="AJ146" i="1"/>
  <c r="AN146" i="1"/>
  <c r="AS146" i="1"/>
  <c r="AT146" i="1"/>
  <c r="AU146" i="1"/>
  <c r="AY146" i="1"/>
  <c r="BA146" i="1"/>
  <c r="BB146" i="1"/>
  <c r="BC146" i="1"/>
  <c r="BD146" i="1"/>
  <c r="BE146" i="1"/>
  <c r="BF146" i="1"/>
  <c r="BG146" i="1"/>
  <c r="BH146" i="1"/>
  <c r="BI146" i="1"/>
  <c r="BJ146" i="1"/>
  <c r="BK146" i="1"/>
  <c r="BO146" i="1"/>
  <c r="BP146" i="1"/>
  <c r="BQ146" i="1"/>
  <c r="AI147" i="1"/>
  <c r="AK147" i="1"/>
  <c r="AN147" i="1"/>
  <c r="AQ147" i="1"/>
  <c r="AS147" i="1"/>
  <c r="AU147" i="1"/>
  <c r="AX147" i="1"/>
  <c r="AY147" i="1"/>
  <c r="AZ147" i="1"/>
  <c r="BA147" i="1"/>
  <c r="BB147" i="1"/>
  <c r="BC147" i="1"/>
  <c r="BC120" i="1" s="1"/>
  <c r="BC121" i="1" s="1"/>
  <c r="BD147" i="1"/>
  <c r="BE147" i="1"/>
  <c r="BF147" i="1"/>
  <c r="BG147" i="1"/>
  <c r="BH147" i="1"/>
  <c r="BI147" i="1"/>
  <c r="BJ147" i="1"/>
  <c r="BK147" i="1"/>
  <c r="BL147" i="1"/>
  <c r="BO147" i="1"/>
  <c r="BP147" i="1"/>
  <c r="BQ147" i="1"/>
  <c r="F148" i="1"/>
  <c r="F146" i="1" s="1"/>
  <c r="J148" i="1"/>
  <c r="J146" i="1" s="1"/>
  <c r="N148" i="1"/>
  <c r="O148" i="1"/>
  <c r="P148" i="1"/>
  <c r="AF148" i="1"/>
  <c r="AG148" i="1"/>
  <c r="AH148" i="1"/>
  <c r="AI148" i="1"/>
  <c r="AI146" i="1" s="1"/>
  <c r="AJ148" i="1"/>
  <c r="AK148" i="1"/>
  <c r="AK146" i="1" s="1"/>
  <c r="AL148" i="1"/>
  <c r="AN148" i="1"/>
  <c r="AQ148" i="1" s="1"/>
  <c r="AV148" i="1"/>
  <c r="AX148" i="1"/>
  <c r="I149" i="1"/>
  <c r="I147" i="1" s="1"/>
  <c r="J149" i="1"/>
  <c r="J147" i="1" s="1"/>
  <c r="O149" i="1"/>
  <c r="Q149" i="1"/>
  <c r="P149" i="1" s="1"/>
  <c r="AF149" i="1"/>
  <c r="AG149" i="1"/>
  <c r="AH149" i="1"/>
  <c r="AI149" i="1"/>
  <c r="AL149" i="1"/>
  <c r="AT149" i="1"/>
  <c r="E150" i="1"/>
  <c r="E149" i="1" s="1"/>
  <c r="E147" i="1" s="1"/>
  <c r="F150" i="1"/>
  <c r="F149" i="1" s="1"/>
  <c r="F147" i="1" s="1"/>
  <c r="J150" i="1"/>
  <c r="AF150" i="1"/>
  <c r="AG150" i="1"/>
  <c r="AH150" i="1"/>
  <c r="AI150" i="1"/>
  <c r="AJ150" i="1"/>
  <c r="AJ149" i="1" s="1"/>
  <c r="AJ147" i="1" s="1"/>
  <c r="AL150" i="1"/>
  <c r="AM150" i="1"/>
  <c r="AM149" i="1" s="1"/>
  <c r="AT150" i="1"/>
  <c r="O151" i="1"/>
  <c r="P151" i="1"/>
  <c r="AM151" i="1"/>
  <c r="AN151" i="1"/>
  <c r="AQ151" i="1" s="1"/>
  <c r="AP151" i="1"/>
  <c r="AR151" i="1"/>
  <c r="AX151" i="1"/>
  <c r="AZ151" i="1"/>
  <c r="O152" i="1"/>
  <c r="Q152" i="1"/>
  <c r="P152" i="1" s="1"/>
  <c r="AL152" i="1"/>
  <c r="AO152" i="1" s="1"/>
  <c r="AM152" i="1"/>
  <c r="AP152" i="1" s="1"/>
  <c r="AR152" i="1"/>
  <c r="AT152" i="1"/>
  <c r="O153" i="1"/>
  <c r="Q153" i="1"/>
  <c r="P153" i="1" s="1"/>
  <c r="N153" i="1" s="1"/>
  <c r="AL153" i="1"/>
  <c r="AO153" i="1" s="1"/>
  <c r="AM153" i="1"/>
  <c r="AP153" i="1" s="1"/>
  <c r="AR153" i="1"/>
  <c r="AT153" i="1"/>
  <c r="N154" i="1"/>
  <c r="O154" i="1"/>
  <c r="P154" i="1"/>
  <c r="AM154" i="1"/>
  <c r="AP154" i="1" s="1"/>
  <c r="AN154" i="1"/>
  <c r="AO154" i="1"/>
  <c r="AQ154" i="1"/>
  <c r="AR154" i="1"/>
  <c r="AV154" i="1"/>
  <c r="AW154" i="1" s="1"/>
  <c r="AX154" i="1"/>
  <c r="AZ154" i="1"/>
  <c r="N155" i="1"/>
  <c r="P155" i="1"/>
  <c r="Q155" i="1"/>
  <c r="O155" i="1" s="1"/>
  <c r="AL155" i="1"/>
  <c r="AR155" i="1"/>
  <c r="AV155" i="1"/>
  <c r="AW155" i="1" s="1"/>
  <c r="N156" i="1"/>
  <c r="P156" i="1"/>
  <c r="Q156" i="1"/>
  <c r="O156" i="1" s="1"/>
  <c r="AL156" i="1"/>
  <c r="AT156" i="1" s="1"/>
  <c r="AR156" i="1"/>
  <c r="AV156" i="1"/>
  <c r="AW156" i="1" s="1"/>
  <c r="N157" i="1"/>
  <c r="O157" i="1"/>
  <c r="P157" i="1"/>
  <c r="AM157" i="1"/>
  <c r="AN157" i="1"/>
  <c r="AP159" i="1" s="1"/>
  <c r="AR157" i="1"/>
  <c r="AZ157" i="1"/>
  <c r="Q158" i="1"/>
  <c r="AL158" i="1"/>
  <c r="AM158" i="1"/>
  <c r="AP158" i="1"/>
  <c r="AR158" i="1"/>
  <c r="AT158" i="1"/>
  <c r="Q159" i="1"/>
  <c r="AL159" i="1"/>
  <c r="AM159" i="1"/>
  <c r="AR159" i="1"/>
  <c r="AT159" i="1"/>
  <c r="O160" i="1"/>
  <c r="P160" i="1"/>
  <c r="N160" i="1" s="1"/>
  <c r="AL160" i="1"/>
  <c r="AN160" i="1"/>
  <c r="AR160" i="1"/>
  <c r="AW160" i="1"/>
  <c r="AZ160" i="1"/>
  <c r="Q161" i="1"/>
  <c r="AL161" i="1"/>
  <c r="AM161" i="1"/>
  <c r="AP161" i="1" s="1"/>
  <c r="AR161" i="1"/>
  <c r="AT161" i="1"/>
  <c r="AV161" i="1"/>
  <c r="AW161" i="1"/>
  <c r="AL162" i="1"/>
  <c r="AO162" i="1" s="1"/>
  <c r="AR162" i="1"/>
  <c r="AT162" i="1"/>
  <c r="AV162" i="1"/>
  <c r="AW162" i="1"/>
  <c r="N163" i="1"/>
  <c r="O163" i="1"/>
  <c r="P163" i="1"/>
  <c r="AM163" i="1"/>
  <c r="AP163" i="1" s="1"/>
  <c r="AN163" i="1"/>
  <c r="AO163" i="1"/>
  <c r="AZ163" i="1" s="1"/>
  <c r="AQ163" i="1"/>
  <c r="AR163" i="1"/>
  <c r="AW163" i="1"/>
  <c r="O164" i="1"/>
  <c r="P164" i="1"/>
  <c r="N164" i="1" s="1"/>
  <c r="Q164" i="1"/>
  <c r="AL164" i="1"/>
  <c r="AO164" i="1" s="1"/>
  <c r="AR164" i="1"/>
  <c r="O165" i="1"/>
  <c r="P165" i="1"/>
  <c r="N165" i="1" s="1"/>
  <c r="Q165" i="1"/>
  <c r="AL165" i="1"/>
  <c r="AO165" i="1" s="1"/>
  <c r="AR165" i="1"/>
  <c r="O166" i="1"/>
  <c r="P166" i="1"/>
  <c r="N166" i="1" s="1"/>
  <c r="AM166" i="1"/>
  <c r="AO166" i="1"/>
  <c r="AZ166" i="1" s="1"/>
  <c r="AP166" i="1"/>
  <c r="AQ166" i="1"/>
  <c r="AR166" i="1"/>
  <c r="AW166" i="1"/>
  <c r="P167" i="1"/>
  <c r="N167" i="1" s="1"/>
  <c r="Q167" i="1"/>
  <c r="O167" i="1" s="1"/>
  <c r="AM167" i="1"/>
  <c r="AO167" i="1"/>
  <c r="AP167" i="1"/>
  <c r="AR167" i="1"/>
  <c r="AT167" i="1"/>
  <c r="AW167" i="1"/>
  <c r="N168" i="1"/>
  <c r="P168" i="1"/>
  <c r="Q168" i="1"/>
  <c r="O168" i="1" s="1"/>
  <c r="AL168" i="1"/>
  <c r="AO168" i="1"/>
  <c r="AR168" i="1"/>
  <c r="AV168" i="1"/>
  <c r="AW168" i="1" s="1"/>
  <c r="N169" i="1"/>
  <c r="O169" i="1"/>
  <c r="P169" i="1"/>
  <c r="AM169" i="1"/>
  <c r="AO169" i="1"/>
  <c r="AP169" i="1"/>
  <c r="AQ169" i="1"/>
  <c r="AR169" i="1"/>
  <c r="AW169" i="1"/>
  <c r="N170" i="1"/>
  <c r="P170" i="1"/>
  <c r="Q170" i="1"/>
  <c r="O170" i="1" s="1"/>
  <c r="AM170" i="1"/>
  <c r="AP170" i="1" s="1"/>
  <c r="AO170" i="1"/>
  <c r="AR170" i="1"/>
  <c r="AT170" i="1"/>
  <c r="AW170" i="1"/>
  <c r="AL171" i="1"/>
  <c r="AM171" i="1" s="1"/>
  <c r="AP171" i="1" s="1"/>
  <c r="AO171" i="1"/>
  <c r="AR171" i="1"/>
  <c r="AV171" i="1"/>
  <c r="E172" i="1"/>
  <c r="H172" i="1"/>
  <c r="I172" i="1"/>
  <c r="Q172" i="1"/>
  <c r="S172" i="1"/>
  <c r="T172" i="1"/>
  <c r="T119" i="1" s="1"/>
  <c r="U172" i="1"/>
  <c r="U119" i="1" s="1"/>
  <c r="V172" i="1"/>
  <c r="V119" i="1" s="1"/>
  <c r="W172" i="1"/>
  <c r="W119" i="1" s="1"/>
  <c r="X172" i="1"/>
  <c r="X119" i="1" s="1"/>
  <c r="Y172" i="1"/>
  <c r="Y119" i="1" s="1"/>
  <c r="Z172" i="1"/>
  <c r="AA172" i="1"/>
  <c r="AB172" i="1"/>
  <c r="AC172" i="1"/>
  <c r="AD172" i="1"/>
  <c r="AE172" i="1"/>
  <c r="AF172" i="1"/>
  <c r="AG172" i="1"/>
  <c r="AH172" i="1"/>
  <c r="AS172" i="1"/>
  <c r="AT172" i="1"/>
  <c r="AU172" i="1"/>
  <c r="BA172" i="1"/>
  <c r="BB172" i="1"/>
  <c r="BC172" i="1"/>
  <c r="BD172" i="1"/>
  <c r="BE172" i="1"/>
  <c r="BF172" i="1"/>
  <c r="BG172" i="1"/>
  <c r="BH172" i="1"/>
  <c r="BI172" i="1"/>
  <c r="BJ172" i="1"/>
  <c r="BK172" i="1"/>
  <c r="BO172" i="1"/>
  <c r="BP172" i="1"/>
  <c r="BQ172" i="1"/>
  <c r="T173" i="1"/>
  <c r="T120" i="1" s="1"/>
  <c r="T121" i="1" s="1"/>
  <c r="U173" i="1"/>
  <c r="U120" i="1" s="1"/>
  <c r="U121" i="1" s="1"/>
  <c r="W173" i="1"/>
  <c r="W120" i="1" s="1"/>
  <c r="W121" i="1" s="1"/>
  <c r="X173" i="1"/>
  <c r="X120" i="1" s="1"/>
  <c r="X121" i="1" s="1"/>
  <c r="Z173" i="1"/>
  <c r="AA173" i="1"/>
  <c r="AC173" i="1"/>
  <c r="AD173" i="1"/>
  <c r="AF173" i="1"/>
  <c r="AG173" i="1"/>
  <c r="AQ173" i="1"/>
  <c r="AS173" i="1"/>
  <c r="AU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I120" i="1" s="1"/>
  <c r="BI121" i="1" s="1"/>
  <c r="BJ173" i="1"/>
  <c r="BK173" i="1"/>
  <c r="BL173" i="1"/>
  <c r="BO173" i="1"/>
  <c r="BP173" i="1"/>
  <c r="BQ173" i="1"/>
  <c r="F174" i="1"/>
  <c r="F172" i="1" s="1"/>
  <c r="J174" i="1"/>
  <c r="J172" i="1" s="1"/>
  <c r="O174" i="1"/>
  <c r="P174" i="1"/>
  <c r="AI174" i="1"/>
  <c r="AK174" i="1"/>
  <c r="AO174" i="1" s="1"/>
  <c r="AP174" i="1" s="1"/>
  <c r="AL174" i="1"/>
  <c r="AM174" i="1"/>
  <c r="AN174" i="1"/>
  <c r="AQ174" i="1"/>
  <c r="AV174" i="1"/>
  <c r="AW174" i="1"/>
  <c r="AX174" i="1"/>
  <c r="E175" i="1"/>
  <c r="I175" i="1"/>
  <c r="I173" i="1" s="1"/>
  <c r="N175" i="1"/>
  <c r="P175" i="1"/>
  <c r="Q175" i="1"/>
  <c r="O175" i="1" s="1"/>
  <c r="E176" i="1"/>
  <c r="F176" i="1"/>
  <c r="N176" i="1"/>
  <c r="P176" i="1"/>
  <c r="Q176" i="1"/>
  <c r="O176" i="1" s="1"/>
  <c r="AI176" i="1"/>
  <c r="AJ176" i="1" s="1"/>
  <c r="AL176" i="1"/>
  <c r="AL175" i="1" s="1"/>
  <c r="AT176" i="1"/>
  <c r="O177" i="1"/>
  <c r="P177" i="1"/>
  <c r="N177" i="1" s="1"/>
  <c r="AM177" i="1"/>
  <c r="AN177" i="1"/>
  <c r="AQ177" i="1"/>
  <c r="AR177" i="1"/>
  <c r="AV177" i="1"/>
  <c r="AW177" i="1" s="1"/>
  <c r="AX177" i="1"/>
  <c r="O178" i="1"/>
  <c r="Q178" i="1"/>
  <c r="P178" i="1" s="1"/>
  <c r="AL178" i="1"/>
  <c r="AM178" i="1"/>
  <c r="AR178" i="1"/>
  <c r="AT178" i="1"/>
  <c r="O179" i="1"/>
  <c r="Q179" i="1"/>
  <c r="P179" i="1" s="1"/>
  <c r="N179" i="1" s="1"/>
  <c r="AL179" i="1"/>
  <c r="AM179" i="1"/>
  <c r="AR179" i="1"/>
  <c r="AT179" i="1"/>
  <c r="N180" i="1"/>
  <c r="O180" i="1"/>
  <c r="O172" i="1" s="1"/>
  <c r="P180" i="1"/>
  <c r="AL180" i="1"/>
  <c r="AN180" i="1"/>
  <c r="AQ180" i="1" s="1"/>
  <c r="AR180" i="1"/>
  <c r="AV180" i="1"/>
  <c r="AW180" i="1"/>
  <c r="AX180" i="1"/>
  <c r="P181" i="1"/>
  <c r="N181" i="1" s="1"/>
  <c r="Q181" i="1"/>
  <c r="O181" i="1" s="1"/>
  <c r="AL181" i="1"/>
  <c r="AM181" i="1" s="1"/>
  <c r="AR181" i="1"/>
  <c r="AV181" i="1"/>
  <c r="AW181" i="1" s="1"/>
  <c r="P182" i="1"/>
  <c r="N182" i="1" s="1"/>
  <c r="Q182" i="1"/>
  <c r="O182" i="1" s="1"/>
  <c r="AL182" i="1"/>
  <c r="AM182" i="1" s="1"/>
  <c r="AR182" i="1"/>
  <c r="AV182" i="1"/>
  <c r="AW182" i="1" s="1"/>
  <c r="O183" i="1"/>
  <c r="P183" i="1"/>
  <c r="N183" i="1" s="1"/>
  <c r="AM183" i="1"/>
  <c r="AN183" i="1"/>
  <c r="AQ183" i="1" s="1"/>
  <c r="AR183" i="1"/>
  <c r="AX183" i="1"/>
  <c r="N184" i="1"/>
  <c r="O184" i="1"/>
  <c r="P184" i="1"/>
  <c r="Q184" i="1"/>
  <c r="AL184" i="1"/>
  <c r="AL185" i="1" s="1"/>
  <c r="AR184" i="1"/>
  <c r="N185" i="1"/>
  <c r="O185" i="1"/>
  <c r="P185" i="1"/>
  <c r="Q185" i="1"/>
  <c r="AR185" i="1"/>
  <c r="N186" i="1"/>
  <c r="O186" i="1"/>
  <c r="P186" i="1"/>
  <c r="AL186" i="1"/>
  <c r="AM186" i="1"/>
  <c r="AN186" i="1"/>
  <c r="AQ186" i="1"/>
  <c r="AR186" i="1"/>
  <c r="AX186" i="1"/>
  <c r="O187" i="1"/>
  <c r="Q187" i="1"/>
  <c r="P187" i="1" s="1"/>
  <c r="N187" i="1" s="1"/>
  <c r="AL187" i="1"/>
  <c r="AM187" i="1"/>
  <c r="AR187" i="1"/>
  <c r="AT187" i="1"/>
  <c r="O188" i="1"/>
  <c r="Q188" i="1"/>
  <c r="P188" i="1" s="1"/>
  <c r="N188" i="1" s="1"/>
  <c r="AL188" i="1"/>
  <c r="AM188" i="1"/>
  <c r="AR188" i="1"/>
  <c r="AT188" i="1"/>
  <c r="O189" i="1"/>
  <c r="P189" i="1"/>
  <c r="N189" i="1" s="1"/>
  <c r="AM189" i="1"/>
  <c r="AN189" i="1"/>
  <c r="AQ189" i="1"/>
  <c r="AR189" i="1"/>
  <c r="AV189" i="1"/>
  <c r="AW189" i="1" s="1"/>
  <c r="Q190" i="1"/>
  <c r="AL190" i="1"/>
  <c r="AM190" i="1"/>
  <c r="AR190" i="1"/>
  <c r="AT190" i="1"/>
  <c r="Q191" i="1"/>
  <c r="AL191" i="1"/>
  <c r="AM191" i="1"/>
  <c r="AR191" i="1"/>
  <c r="AT191" i="1"/>
  <c r="E192" i="1"/>
  <c r="H192" i="1"/>
  <c r="I192" i="1"/>
  <c r="P192" i="1"/>
  <c r="Q192" i="1"/>
  <c r="S192" i="1"/>
  <c r="AS192" i="1"/>
  <c r="AT192" i="1"/>
  <c r="AU192" i="1"/>
  <c r="BA192" i="1"/>
  <c r="BB192" i="1"/>
  <c r="BC192" i="1"/>
  <c r="BD192" i="1"/>
  <c r="BE192" i="1"/>
  <c r="BF192" i="1"/>
  <c r="BG192" i="1"/>
  <c r="BH192" i="1"/>
  <c r="BI192" i="1"/>
  <c r="BJ192" i="1"/>
  <c r="BK192" i="1"/>
  <c r="BO192" i="1"/>
  <c r="BP192" i="1"/>
  <c r="BQ192" i="1"/>
  <c r="AS193" i="1"/>
  <c r="AU193" i="1"/>
  <c r="AY193" i="1"/>
  <c r="AZ193" i="1"/>
  <c r="BA193" i="1"/>
  <c r="BB193" i="1"/>
  <c r="BC193" i="1"/>
  <c r="BD193" i="1"/>
  <c r="BE193" i="1"/>
  <c r="BF193" i="1"/>
  <c r="BG193" i="1"/>
  <c r="BH193" i="1"/>
  <c r="BI193" i="1"/>
  <c r="BJ193" i="1"/>
  <c r="BK193" i="1"/>
  <c r="BL193" i="1"/>
  <c r="BO193" i="1"/>
  <c r="BP193" i="1"/>
  <c r="BQ193" i="1"/>
  <c r="F194" i="1"/>
  <c r="J194" i="1"/>
  <c r="J192" i="1" s="1"/>
  <c r="N194" i="1"/>
  <c r="O194" i="1"/>
  <c r="P194" i="1"/>
  <c r="AI194" i="1"/>
  <c r="AJ194" i="1"/>
  <c r="AJ192" i="1" s="1"/>
  <c r="AK194" i="1"/>
  <c r="AL194" i="1"/>
  <c r="AL192" i="1" s="1"/>
  <c r="AM194" i="1"/>
  <c r="AN194" i="1"/>
  <c r="AN192" i="1" s="1"/>
  <c r="AV194" i="1"/>
  <c r="AW194" i="1" s="1"/>
  <c r="AX194" i="1"/>
  <c r="AX192" i="1" s="1"/>
  <c r="E195" i="1"/>
  <c r="F195" i="1" s="1"/>
  <c r="F193" i="1" s="1"/>
  <c r="I195" i="1"/>
  <c r="I193" i="1" s="1"/>
  <c r="J195" i="1"/>
  <c r="J193" i="1" s="1"/>
  <c r="Q195" i="1"/>
  <c r="AL195" i="1"/>
  <c r="AL193" i="1" s="1"/>
  <c r="AM195" i="1"/>
  <c r="AT195" i="1"/>
  <c r="E196" i="1"/>
  <c r="F196" i="1"/>
  <c r="J196" i="1"/>
  <c r="Q196" i="1"/>
  <c r="AI196" i="1"/>
  <c r="AJ196" i="1" s="1"/>
  <c r="AL196" i="1"/>
  <c r="AM196" i="1"/>
  <c r="AT196" i="1"/>
  <c r="O197" i="1"/>
  <c r="P197" i="1"/>
  <c r="AM197" i="1"/>
  <c r="AN197" i="1"/>
  <c r="AQ197" i="1"/>
  <c r="AR197" i="1"/>
  <c r="AX197" i="1"/>
  <c r="O198" i="1"/>
  <c r="Q198" i="1"/>
  <c r="P198" i="1" s="1"/>
  <c r="AV198" i="1" s="1"/>
  <c r="AL198" i="1"/>
  <c r="AM198" i="1"/>
  <c r="AR198" i="1"/>
  <c r="AT198" i="1"/>
  <c r="O199" i="1"/>
  <c r="Q199" i="1"/>
  <c r="P199" i="1" s="1"/>
  <c r="N199" i="1" s="1"/>
  <c r="AL199" i="1"/>
  <c r="AM199" i="1"/>
  <c r="AR199" i="1"/>
  <c r="AT199" i="1"/>
  <c r="F200" i="1"/>
  <c r="N200" i="1"/>
  <c r="O200" i="1"/>
  <c r="P200" i="1"/>
  <c r="AV200" i="1" s="1"/>
  <c r="AW200" i="1" s="1"/>
  <c r="AM200" i="1"/>
  <c r="AN200" i="1"/>
  <c r="AQ200" i="1" s="1"/>
  <c r="AY200" i="1" s="1"/>
  <c r="AR200" i="1"/>
  <c r="AX200" i="1"/>
  <c r="F201" i="1"/>
  <c r="N201" i="1"/>
  <c r="O201" i="1"/>
  <c r="Q201" i="1"/>
  <c r="P201" i="1" s="1"/>
  <c r="AV201" i="1" s="1"/>
  <c r="AL201" i="1"/>
  <c r="AM201" i="1"/>
  <c r="AM202" i="1" s="1"/>
  <c r="AR201" i="1"/>
  <c r="AT201" i="1"/>
  <c r="F202" i="1"/>
  <c r="Q202" i="1"/>
  <c r="AL202" i="1"/>
  <c r="AT202" i="1" s="1"/>
  <c r="AR202" i="1"/>
  <c r="N203" i="1"/>
  <c r="O203" i="1"/>
  <c r="P203" i="1"/>
  <c r="AM203" i="1"/>
  <c r="AN203" i="1"/>
  <c r="AQ203" i="1" s="1"/>
  <c r="AY203" i="1" s="1"/>
  <c r="AR203" i="1"/>
  <c r="AX203" i="1"/>
  <c r="O204" i="1"/>
  <c r="P204" i="1"/>
  <c r="N204" i="1" s="1"/>
  <c r="Q204" i="1"/>
  <c r="AL204" i="1"/>
  <c r="AM204" i="1"/>
  <c r="AR204" i="1"/>
  <c r="AT204" i="1"/>
  <c r="O205" i="1"/>
  <c r="P205" i="1"/>
  <c r="N205" i="1" s="1"/>
  <c r="Q205" i="1"/>
  <c r="AL205" i="1"/>
  <c r="AM205" i="1"/>
  <c r="AR205" i="1"/>
  <c r="AT205" i="1"/>
  <c r="O206" i="1"/>
  <c r="P206" i="1"/>
  <c r="N206" i="1" s="1"/>
  <c r="AL206" i="1"/>
  <c r="AM206" i="1"/>
  <c r="AN206" i="1"/>
  <c r="AQ206" i="1" s="1"/>
  <c r="AR206" i="1"/>
  <c r="AW206" i="1"/>
  <c r="N207" i="1"/>
  <c r="O207" i="1"/>
  <c r="Q207" i="1"/>
  <c r="P207" i="1" s="1"/>
  <c r="AL207" i="1"/>
  <c r="AR207" i="1"/>
  <c r="N208" i="1"/>
  <c r="O208" i="1"/>
  <c r="Q208" i="1"/>
  <c r="P208" i="1" s="1"/>
  <c r="AR208" i="1"/>
  <c r="N209" i="1"/>
  <c r="O209" i="1"/>
  <c r="P209" i="1"/>
  <c r="AM209" i="1"/>
  <c r="AN209" i="1"/>
  <c r="AQ209" i="1" s="1"/>
  <c r="AO209" i="1"/>
  <c r="AP209" i="1" s="1"/>
  <c r="AR209" i="1"/>
  <c r="AW209" i="1"/>
  <c r="O210" i="1"/>
  <c r="Q210" i="1"/>
  <c r="P210" i="1" s="1"/>
  <c r="N210" i="1" s="1"/>
  <c r="AL210" i="1"/>
  <c r="AM210" i="1" s="1"/>
  <c r="AW210" i="1" s="1"/>
  <c r="AR210" i="1"/>
  <c r="AT210" i="1"/>
  <c r="O211" i="1"/>
  <c r="Q211" i="1"/>
  <c r="P211" i="1" s="1"/>
  <c r="N211" i="1" s="1"/>
  <c r="AL211" i="1"/>
  <c r="AV211" i="1" s="1"/>
  <c r="AR211" i="1"/>
  <c r="AT211" i="1"/>
  <c r="N212" i="1"/>
  <c r="O212" i="1"/>
  <c r="P212" i="1"/>
  <c r="AM212" i="1"/>
  <c r="AN212" i="1"/>
  <c r="AQ212" i="1" s="1"/>
  <c r="AR212" i="1"/>
  <c r="AW212" i="1"/>
  <c r="N213" i="1"/>
  <c r="O213" i="1"/>
  <c r="Q213" i="1"/>
  <c r="P213" i="1" s="1"/>
  <c r="AL213" i="1"/>
  <c r="AR213" i="1"/>
  <c r="N214" i="1"/>
  <c r="O214" i="1"/>
  <c r="Q214" i="1"/>
  <c r="P214" i="1" s="1"/>
  <c r="AR214" i="1"/>
  <c r="E215" i="1"/>
  <c r="F215" i="1"/>
  <c r="H215" i="1"/>
  <c r="I215" i="1"/>
  <c r="AK215" i="1"/>
  <c r="AL215" i="1"/>
  <c r="AS215" i="1"/>
  <c r="AT215" i="1"/>
  <c r="AU215" i="1"/>
  <c r="BA215" i="1"/>
  <c r="BB215" i="1"/>
  <c r="BC215" i="1"/>
  <c r="BD215" i="1"/>
  <c r="BE215" i="1"/>
  <c r="BG215" i="1"/>
  <c r="BH215" i="1"/>
  <c r="BI215" i="1"/>
  <c r="BJ215" i="1"/>
  <c r="BK215" i="1"/>
  <c r="BL215" i="1"/>
  <c r="BO215" i="1"/>
  <c r="BP215" i="1"/>
  <c r="BQ215" i="1"/>
  <c r="I216" i="1"/>
  <c r="AK216" i="1"/>
  <c r="AN216" i="1"/>
  <c r="AQ216" i="1"/>
  <c r="AS216" i="1"/>
  <c r="AU216" i="1"/>
  <c r="AX216" i="1"/>
  <c r="AY216" i="1"/>
  <c r="AZ216" i="1"/>
  <c r="BA216" i="1"/>
  <c r="BB216" i="1"/>
  <c r="BC216" i="1"/>
  <c r="BD216" i="1"/>
  <c r="BE216" i="1"/>
  <c r="BF216" i="1"/>
  <c r="BG216" i="1"/>
  <c r="BH216" i="1"/>
  <c r="BI216" i="1"/>
  <c r="BJ216" i="1"/>
  <c r="BK216" i="1"/>
  <c r="BL216" i="1"/>
  <c r="BO216" i="1"/>
  <c r="BP216" i="1"/>
  <c r="BQ216" i="1"/>
  <c r="F217" i="1"/>
  <c r="J217" i="1"/>
  <c r="J215" i="1" s="1"/>
  <c r="O217" i="1"/>
  <c r="P217" i="1"/>
  <c r="AI217" i="1"/>
  <c r="AK217" i="1"/>
  <c r="AL217" i="1"/>
  <c r="AM217" i="1" s="1"/>
  <c r="AM215" i="1" s="1"/>
  <c r="AN217" i="1"/>
  <c r="AQ217" i="1"/>
  <c r="AY217" i="1" s="1"/>
  <c r="AX217" i="1"/>
  <c r="E218" i="1"/>
  <c r="I218" i="1"/>
  <c r="J218" i="1" s="1"/>
  <c r="N218" i="1"/>
  <c r="O218" i="1"/>
  <c r="P218" i="1"/>
  <c r="AV218" i="1" s="1"/>
  <c r="AV219" i="1" s="1"/>
  <c r="Q218" i="1"/>
  <c r="AL218" i="1"/>
  <c r="AT218" i="1"/>
  <c r="AW218" i="1"/>
  <c r="E219" i="1"/>
  <c r="F219" i="1" s="1"/>
  <c r="N219" i="1"/>
  <c r="O219" i="1"/>
  <c r="P219" i="1"/>
  <c r="Q219" i="1"/>
  <c r="AI219" i="1"/>
  <c r="AI218" i="1" s="1"/>
  <c r="AJ219" i="1"/>
  <c r="AL219" i="1"/>
  <c r="AM219" i="1" s="1"/>
  <c r="AT219" i="1"/>
  <c r="AW219" i="1"/>
  <c r="N220" i="1"/>
  <c r="O220" i="1"/>
  <c r="P220" i="1"/>
  <c r="AM220" i="1"/>
  <c r="AN220" i="1"/>
  <c r="AQ220" i="1" s="1"/>
  <c r="AY220" i="1" s="1"/>
  <c r="AR220" i="1"/>
  <c r="AV220" i="1"/>
  <c r="AW220" i="1" s="1"/>
  <c r="AX220" i="1"/>
  <c r="O221" i="1"/>
  <c r="P221" i="1"/>
  <c r="N221" i="1" s="1"/>
  <c r="Q221" i="1"/>
  <c r="AL221" i="1"/>
  <c r="AR221" i="1"/>
  <c r="AT221" i="1"/>
  <c r="AV221" i="1"/>
  <c r="P222" i="1"/>
  <c r="N222" i="1" s="1"/>
  <c r="Q222" i="1"/>
  <c r="O222" i="1" s="1"/>
  <c r="AL222" i="1"/>
  <c r="AT222" i="1" s="1"/>
  <c r="AM222" i="1"/>
  <c r="AR222" i="1"/>
  <c r="F223" i="1"/>
  <c r="O223" i="1"/>
  <c r="P223" i="1"/>
  <c r="N223" i="1" s="1"/>
  <c r="AM223" i="1"/>
  <c r="AN223" i="1"/>
  <c r="AO223" i="1"/>
  <c r="AP223" i="1" s="1"/>
  <c r="AQ223" i="1"/>
  <c r="AR223" i="1"/>
  <c r="AZ223" i="1"/>
  <c r="F224" i="1"/>
  <c r="P224" i="1"/>
  <c r="N224" i="1" s="1"/>
  <c r="Q224" i="1"/>
  <c r="O224" i="1" s="1"/>
  <c r="AL224" i="1"/>
  <c r="AM224" i="1" s="1"/>
  <c r="AR224" i="1"/>
  <c r="F225" i="1"/>
  <c r="AM225" i="1"/>
  <c r="AR225" i="1"/>
  <c r="O226" i="1"/>
  <c r="P226" i="1"/>
  <c r="N226" i="1" s="1"/>
  <c r="AM226" i="1"/>
  <c r="AN226" i="1"/>
  <c r="AP226" i="1"/>
  <c r="AQ226" i="1"/>
  <c r="AO226" i="1" s="1"/>
  <c r="AR226" i="1"/>
  <c r="AW226" i="1"/>
  <c r="AY226" i="1"/>
  <c r="AZ226" i="1"/>
  <c r="Q227" i="1"/>
  <c r="AL227" i="1"/>
  <c r="AM227" i="1"/>
  <c r="AR227" i="1"/>
  <c r="AT227" i="1"/>
  <c r="AV227" i="1"/>
  <c r="AW227" i="1"/>
  <c r="AL228" i="1"/>
  <c r="AM228" i="1"/>
  <c r="AR228" i="1"/>
  <c r="AT228" i="1"/>
  <c r="AV228" i="1"/>
  <c r="AW228" i="1" s="1"/>
  <c r="O229" i="1"/>
  <c r="P229" i="1"/>
  <c r="N229" i="1" s="1"/>
  <c r="AM229" i="1"/>
  <c r="AQ229" i="1"/>
  <c r="AY229" i="1" s="1"/>
  <c r="AR229" i="1"/>
  <c r="AW229" i="1"/>
  <c r="AZ229" i="1"/>
  <c r="N230" i="1"/>
  <c r="P230" i="1"/>
  <c r="Q230" i="1"/>
  <c r="O230" i="1" s="1"/>
  <c r="AL230" i="1"/>
  <c r="AR230" i="1"/>
  <c r="AV230" i="1"/>
  <c r="AW230" i="1" s="1"/>
  <c r="P231" i="1"/>
  <c r="N231" i="1" s="1"/>
  <c r="Q231" i="1"/>
  <c r="O231" i="1" s="1"/>
  <c r="AR231" i="1"/>
  <c r="P232" i="1"/>
  <c r="N232" i="1" s="1"/>
  <c r="Q232" i="1"/>
  <c r="Q215" i="1" s="1"/>
  <c r="S232" i="1"/>
  <c r="S215" i="1" s="1"/>
  <c r="AM232" i="1"/>
  <c r="AO232" i="1"/>
  <c r="AP232" i="1" s="1"/>
  <c r="AQ232" i="1"/>
  <c r="AR232" i="1"/>
  <c r="AW232" i="1"/>
  <c r="AY232" i="1"/>
  <c r="AZ232" i="1"/>
  <c r="AM233" i="1"/>
  <c r="AR233" i="1"/>
  <c r="AT233" i="1"/>
  <c r="AV233" i="1"/>
  <c r="AW233" i="1" s="1"/>
  <c r="AL234" i="1"/>
  <c r="AM234" i="1" s="1"/>
  <c r="AR234" i="1"/>
  <c r="AV234" i="1"/>
  <c r="AW234" i="1" s="1"/>
  <c r="E235" i="1"/>
  <c r="H235" i="1"/>
  <c r="I235" i="1"/>
  <c r="S235" i="1"/>
  <c r="Z235" i="1"/>
  <c r="AA235" i="1"/>
  <c r="AB235" i="1"/>
  <c r="AL235" i="1"/>
  <c r="AS235" i="1"/>
  <c r="AT235" i="1"/>
  <c r="AU235" i="1"/>
  <c r="AY235" i="1"/>
  <c r="BA235" i="1"/>
  <c r="BB235" i="1"/>
  <c r="BC235" i="1"/>
  <c r="BD235" i="1"/>
  <c r="BE235" i="1"/>
  <c r="BF235" i="1"/>
  <c r="BG235" i="1"/>
  <c r="BH235" i="1"/>
  <c r="BI235" i="1"/>
  <c r="BJ235" i="1"/>
  <c r="BK235" i="1"/>
  <c r="BL235" i="1"/>
  <c r="BO235" i="1"/>
  <c r="BP235" i="1"/>
  <c r="BQ235" i="1"/>
  <c r="E236" i="1"/>
  <c r="H236" i="1"/>
  <c r="Z236" i="1"/>
  <c r="AA236" i="1"/>
  <c r="AB236" i="1"/>
  <c r="AB120" i="1" s="1"/>
  <c r="AB121" i="1" s="1"/>
  <c r="AE236" i="1"/>
  <c r="AE120" i="1" s="1"/>
  <c r="AE121" i="1" s="1"/>
  <c r="AH236" i="1"/>
  <c r="AH120" i="1" s="1"/>
  <c r="AH121" i="1" s="1"/>
  <c r="AK236" i="1"/>
  <c r="AN236" i="1"/>
  <c r="AQ236" i="1"/>
  <c r="AU236" i="1"/>
  <c r="AX236" i="1"/>
  <c r="AY236" i="1"/>
  <c r="AZ236" i="1"/>
  <c r="BA236" i="1"/>
  <c r="BB236" i="1"/>
  <c r="BC236" i="1"/>
  <c r="BD236" i="1"/>
  <c r="BE236" i="1"/>
  <c r="BF236" i="1"/>
  <c r="BG236" i="1"/>
  <c r="BH236" i="1"/>
  <c r="BI236" i="1"/>
  <c r="BJ236" i="1"/>
  <c r="BK236" i="1"/>
  <c r="BL236" i="1"/>
  <c r="F237" i="1"/>
  <c r="J237" i="1"/>
  <c r="N237" i="1"/>
  <c r="O237" i="1"/>
  <c r="P237" i="1"/>
  <c r="AD237" i="1"/>
  <c r="AG237" i="1" s="1"/>
  <c r="AF237" i="1"/>
  <c r="AH237" i="1"/>
  <c r="AJ237" i="1"/>
  <c r="AM237" i="1"/>
  <c r="AV237" i="1"/>
  <c r="BW237" i="1"/>
  <c r="BX237" i="1" s="1"/>
  <c r="E238" i="1"/>
  <c r="F238" i="1" s="1"/>
  <c r="I238" i="1"/>
  <c r="P238" i="1"/>
  <c r="Q238" i="1"/>
  <c r="O238" i="1" s="1"/>
  <c r="AC238" i="1"/>
  <c r="AF238" i="1" s="1"/>
  <c r="AG238" i="1"/>
  <c r="AJ238" i="1"/>
  <c r="AL238" i="1"/>
  <c r="AP238" i="1"/>
  <c r="AV238" i="1"/>
  <c r="AV239" i="1" s="1"/>
  <c r="AW239" i="1" s="1"/>
  <c r="F239" i="1"/>
  <c r="J239" i="1"/>
  <c r="P239" i="1"/>
  <c r="N239" i="1" s="1"/>
  <c r="Q239" i="1"/>
  <c r="O239" i="1" s="1"/>
  <c r="AC239" i="1"/>
  <c r="AD239" i="1"/>
  <c r="AF239" i="1"/>
  <c r="AG239" i="1"/>
  <c r="AI239" i="1"/>
  <c r="AJ239" i="1" s="1"/>
  <c r="AL239" i="1"/>
  <c r="AT239" i="1" s="1"/>
  <c r="AM239" i="1"/>
  <c r="O240" i="1"/>
  <c r="P240" i="1"/>
  <c r="N240" i="1" s="1"/>
  <c r="AD240" i="1"/>
  <c r="AF240" i="1"/>
  <c r="AG240" i="1"/>
  <c r="AH240" i="1"/>
  <c r="AM240" i="1"/>
  <c r="AW240" i="1" s="1"/>
  <c r="AR240" i="1"/>
  <c r="AV240" i="1"/>
  <c r="P241" i="1"/>
  <c r="N241" i="1" s="1"/>
  <c r="Q241" i="1"/>
  <c r="O241" i="1" s="1"/>
  <c r="AD241" i="1"/>
  <c r="AF241" i="1"/>
  <c r="AG241" i="1"/>
  <c r="AM241" i="1"/>
  <c r="AO241" i="1"/>
  <c r="AR241" i="1"/>
  <c r="AT241" i="1"/>
  <c r="AV241" i="1"/>
  <c r="AW241" i="1" s="1"/>
  <c r="AC242" i="1"/>
  <c r="AL242" i="1"/>
  <c r="AO242" i="1"/>
  <c r="AR242" i="1"/>
  <c r="AV242" i="1"/>
  <c r="AW242" i="1" s="1"/>
  <c r="N243" i="1"/>
  <c r="O243" i="1"/>
  <c r="P243" i="1"/>
  <c r="AD243" i="1"/>
  <c r="AF243" i="1"/>
  <c r="AG243" i="1"/>
  <c r="AH243" i="1"/>
  <c r="AM243" i="1"/>
  <c r="AR243" i="1"/>
  <c r="AV243" i="1"/>
  <c r="AW243" i="1"/>
  <c r="O244" i="1"/>
  <c r="Q244" i="1"/>
  <c r="P244" i="1" s="1"/>
  <c r="N244" i="1" s="1"/>
  <c r="AD244" i="1"/>
  <c r="AF244" i="1"/>
  <c r="AG244" i="1"/>
  <c r="AM244" i="1"/>
  <c r="AO244" i="1"/>
  <c r="AP244" i="1"/>
  <c r="AR244" i="1"/>
  <c r="AT244" i="1"/>
  <c r="AV244" i="1"/>
  <c r="AW244" i="1"/>
  <c r="Q245" i="1"/>
  <c r="AC245" i="1"/>
  <c r="AF245" i="1" s="1"/>
  <c r="AD245" i="1"/>
  <c r="AG245" i="1"/>
  <c r="AL245" i="1"/>
  <c r="AM245" i="1"/>
  <c r="AO245" i="1"/>
  <c r="AP245" i="1"/>
  <c r="AR245" i="1"/>
  <c r="AT245" i="1"/>
  <c r="AV245" i="1"/>
  <c r="AW245" i="1"/>
  <c r="F246" i="1"/>
  <c r="J246" i="1"/>
  <c r="O246" i="1"/>
  <c r="P246" i="1"/>
  <c r="N246" i="1" s="1"/>
  <c r="AC246" i="1"/>
  <c r="AF246" i="1" s="1"/>
  <c r="AE246" i="1"/>
  <c r="AJ246" i="1"/>
  <c r="AM246" i="1"/>
  <c r="AR246" i="1"/>
  <c r="AV246" i="1"/>
  <c r="AW246" i="1"/>
  <c r="BW246" i="1"/>
  <c r="BX246" i="1"/>
  <c r="E247" i="1"/>
  <c r="F247" i="1"/>
  <c r="I247" i="1"/>
  <c r="J247" i="1"/>
  <c r="O247" i="1"/>
  <c r="Q247" i="1"/>
  <c r="P247" i="1" s="1"/>
  <c r="N247" i="1" s="1"/>
  <c r="AD247" i="1"/>
  <c r="AI247" i="1"/>
  <c r="AL247" i="1"/>
  <c r="AR247" i="1" s="1"/>
  <c r="AM247" i="1"/>
  <c r="AP247" i="1" s="1"/>
  <c r="AP248" i="1" s="1"/>
  <c r="F248" i="1"/>
  <c r="J248" i="1"/>
  <c r="AI248" i="1"/>
  <c r="AJ248" i="1"/>
  <c r="AL248" i="1"/>
  <c r="AS248" i="1" s="1"/>
  <c r="AM248" i="1"/>
  <c r="AR248" i="1"/>
  <c r="N249" i="1"/>
  <c r="O249" i="1"/>
  <c r="P249" i="1"/>
  <c r="AC249" i="1"/>
  <c r="AD249" i="1"/>
  <c r="AG249" i="1" s="1"/>
  <c r="AE249" i="1"/>
  <c r="AF249" i="1"/>
  <c r="AH249" i="1"/>
  <c r="AM249" i="1"/>
  <c r="AR249" i="1"/>
  <c r="AV249" i="1"/>
  <c r="AW249" i="1"/>
  <c r="Q250" i="1"/>
  <c r="Q236" i="1" s="1"/>
  <c r="AC250" i="1"/>
  <c r="AF250" i="1" s="1"/>
  <c r="AD250" i="1"/>
  <c r="AG250" i="1"/>
  <c r="AM250" i="1"/>
  <c r="AP250" i="1" s="1"/>
  <c r="AP251" i="1" s="1"/>
  <c r="AO250" i="1"/>
  <c r="AR250" i="1"/>
  <c r="AT250" i="1"/>
  <c r="AV250" i="1"/>
  <c r="AW250" i="1" s="1"/>
  <c r="AC251" i="1"/>
  <c r="AL251" i="1"/>
  <c r="AO251" i="1"/>
  <c r="AR251" i="1"/>
  <c r="AV251" i="1"/>
  <c r="AW251" i="1" s="1"/>
  <c r="F252" i="1"/>
  <c r="J252" i="1"/>
  <c r="O252" i="1"/>
  <c r="P252" i="1"/>
  <c r="N252" i="1" s="1"/>
  <c r="AC252" i="1"/>
  <c r="AF252" i="1" s="1"/>
  <c r="AD252" i="1"/>
  <c r="AG252" i="1"/>
  <c r="AH252" i="1"/>
  <c r="AJ252" i="1"/>
  <c r="AM252" i="1"/>
  <c r="AR252" i="1"/>
  <c r="AV252" i="1"/>
  <c r="AW252" i="1"/>
  <c r="BW252" i="1"/>
  <c r="BX252" i="1"/>
  <c r="E253" i="1"/>
  <c r="F253" i="1"/>
  <c r="I253" i="1"/>
  <c r="J253" i="1"/>
  <c r="Q253" i="1"/>
  <c r="AJ253" i="1"/>
  <c r="AL253" i="1"/>
  <c r="AM253" i="1" s="1"/>
  <c r="AP253" i="1" s="1"/>
  <c r="AO253" i="1"/>
  <c r="AO254" i="1" s="1"/>
  <c r="AR253" i="1"/>
  <c r="AV253" i="1"/>
  <c r="F254" i="1"/>
  <c r="J254" i="1"/>
  <c r="AC254" i="1"/>
  <c r="AI254" i="1"/>
  <c r="AM254" i="1"/>
  <c r="AP254" i="1"/>
  <c r="AT254" i="1"/>
  <c r="F255" i="1"/>
  <c r="J255" i="1"/>
  <c r="O255" i="1"/>
  <c r="P255" i="1"/>
  <c r="N255" i="1" s="1"/>
  <c r="AC255" i="1"/>
  <c r="AD255" i="1" s="1"/>
  <c r="AG255" i="1" s="1"/>
  <c r="AF255" i="1"/>
  <c r="AH255" i="1"/>
  <c r="AM255" i="1"/>
  <c r="AR255" i="1"/>
  <c r="AV255" i="1"/>
  <c r="AW255" i="1"/>
  <c r="F256" i="1"/>
  <c r="J256" i="1"/>
  <c r="Q256" i="1"/>
  <c r="AC256" i="1"/>
  <c r="AF256" i="1" s="1"/>
  <c r="AD256" i="1"/>
  <c r="AG256" i="1"/>
  <c r="AL256" i="1"/>
  <c r="AO256" i="1" s="1"/>
  <c r="AO257" i="1" s="1"/>
  <c r="AM256" i="1"/>
  <c r="AP256" i="1"/>
  <c r="AP257" i="1" s="1"/>
  <c r="AR256" i="1"/>
  <c r="AT256" i="1"/>
  <c r="F257" i="1"/>
  <c r="J257" i="1"/>
  <c r="AC257" i="1"/>
  <c r="AD257" i="1"/>
  <c r="AG257" i="1" s="1"/>
  <c r="AF257" i="1"/>
  <c r="AM257" i="1"/>
  <c r="AR257" i="1"/>
  <c r="AT257" i="1"/>
  <c r="F258" i="1"/>
  <c r="J258" i="1"/>
  <c r="N258" i="1"/>
  <c r="O258" i="1"/>
  <c r="P258" i="1"/>
  <c r="AC258" i="1"/>
  <c r="AD258" i="1"/>
  <c r="AG258" i="1" s="1"/>
  <c r="AF258" i="1"/>
  <c r="AH258" i="1"/>
  <c r="AM258" i="1"/>
  <c r="AR258" i="1"/>
  <c r="AV258" i="1"/>
  <c r="AW258" i="1" s="1"/>
  <c r="F259" i="1"/>
  <c r="J259" i="1"/>
  <c r="P259" i="1"/>
  <c r="N259" i="1" s="1"/>
  <c r="Q259" i="1"/>
  <c r="O259" i="1" s="1"/>
  <c r="AL259" i="1"/>
  <c r="AM259" i="1" s="1"/>
  <c r="AP259" i="1" s="1"/>
  <c r="AP260" i="1" s="1"/>
  <c r="AO259" i="1"/>
  <c r="AO260" i="1" s="1"/>
  <c r="AR259" i="1"/>
  <c r="AV259" i="1"/>
  <c r="F260" i="1"/>
  <c r="J260" i="1"/>
  <c r="AC260" i="1"/>
  <c r="AM260" i="1"/>
  <c r="AR260" i="1"/>
  <c r="AT260" i="1"/>
  <c r="F261" i="1"/>
  <c r="J261" i="1"/>
  <c r="N261" i="1"/>
  <c r="O261" i="1"/>
  <c r="P261" i="1"/>
  <c r="AC261" i="1"/>
  <c r="AH261" i="1"/>
  <c r="AM261" i="1"/>
  <c r="AR261" i="1"/>
  <c r="AV261" i="1"/>
  <c r="AW261" i="1"/>
  <c r="F262" i="1"/>
  <c r="J262" i="1"/>
  <c r="O262" i="1"/>
  <c r="Q262" i="1"/>
  <c r="P262" i="1" s="1"/>
  <c r="N262" i="1" s="1"/>
  <c r="AD262" i="1"/>
  <c r="AG262" i="1" s="1"/>
  <c r="AL262" i="1"/>
  <c r="AM262" i="1"/>
  <c r="AP262" i="1" s="1"/>
  <c r="AP263" i="1" s="1"/>
  <c r="AO262" i="1"/>
  <c r="AR262" i="1"/>
  <c r="AT262" i="1"/>
  <c r="AV262" i="1"/>
  <c r="AW262" i="1"/>
  <c r="F263" i="1"/>
  <c r="J263" i="1"/>
  <c r="Q263" i="1"/>
  <c r="AC263" i="1"/>
  <c r="AC262" i="1" s="1"/>
  <c r="AF262" i="1" s="1"/>
  <c r="AD263" i="1"/>
  <c r="AG263" i="1"/>
  <c r="AM263" i="1"/>
  <c r="AO263" i="1"/>
  <c r="AR263" i="1"/>
  <c r="AT263" i="1"/>
  <c r="AV263" i="1"/>
  <c r="AW263" i="1" s="1"/>
  <c r="F264" i="1"/>
  <c r="J264" i="1"/>
  <c r="O264" i="1"/>
  <c r="P264" i="1"/>
  <c r="N264" i="1" s="1"/>
  <c r="AC264" i="1"/>
  <c r="AF264" i="1" s="1"/>
  <c r="AD264" i="1"/>
  <c r="AG264" i="1"/>
  <c r="AH264" i="1"/>
  <c r="AM264" i="1"/>
  <c r="AR264" i="1"/>
  <c r="AV264" i="1"/>
  <c r="AW264" i="1" s="1"/>
  <c r="F265" i="1"/>
  <c r="J265" i="1"/>
  <c r="N265" i="1"/>
  <c r="O265" i="1"/>
  <c r="P265" i="1"/>
  <c r="Q265" i="1"/>
  <c r="AC265" i="1"/>
  <c r="AL265" i="1"/>
  <c r="AR265" i="1"/>
  <c r="F266" i="1"/>
  <c r="J266" i="1"/>
  <c r="P266" i="1"/>
  <c r="N266" i="1" s="1"/>
  <c r="Q266" i="1"/>
  <c r="O266" i="1" s="1"/>
  <c r="AC266" i="1"/>
  <c r="AD266" i="1" s="1"/>
  <c r="AG266" i="1" s="1"/>
  <c r="AF266" i="1"/>
  <c r="AM266" i="1"/>
  <c r="AR266" i="1"/>
  <c r="AT266" i="1"/>
  <c r="F267" i="1"/>
  <c r="J267" i="1"/>
  <c r="O267" i="1"/>
  <c r="P267" i="1"/>
  <c r="N267" i="1" s="1"/>
  <c r="AC267" i="1"/>
  <c r="AD267" i="1" s="1"/>
  <c r="AG267" i="1" s="1"/>
  <c r="AF267" i="1"/>
  <c r="AH267" i="1"/>
  <c r="AM267" i="1"/>
  <c r="AR267" i="1"/>
  <c r="AV267" i="1"/>
  <c r="AW267" i="1"/>
  <c r="F268" i="1"/>
  <c r="J268" i="1"/>
  <c r="Q268" i="1"/>
  <c r="AC268" i="1"/>
  <c r="AF268" i="1" s="1"/>
  <c r="AD268" i="1"/>
  <c r="AG268" i="1"/>
  <c r="AL268" i="1"/>
  <c r="AO268" i="1" s="1"/>
  <c r="AM268" i="1"/>
  <c r="AP268" i="1"/>
  <c r="AP269" i="1" s="1"/>
  <c r="AR268" i="1"/>
  <c r="AT268" i="1"/>
  <c r="F269" i="1"/>
  <c r="J269" i="1"/>
  <c r="AC269" i="1"/>
  <c r="AD269" i="1"/>
  <c r="AG269" i="1" s="1"/>
  <c r="AF269" i="1"/>
  <c r="AM269" i="1"/>
  <c r="AO269" i="1"/>
  <c r="AR269" i="1"/>
  <c r="AT269" i="1"/>
  <c r="F270" i="1"/>
  <c r="J270" i="1"/>
  <c r="N270" i="1"/>
  <c r="O270" i="1"/>
  <c r="P270" i="1"/>
  <c r="AC270" i="1"/>
  <c r="AD270" i="1"/>
  <c r="AG270" i="1" s="1"/>
  <c r="AF270" i="1"/>
  <c r="AH270" i="1"/>
  <c r="AM270" i="1"/>
  <c r="AR270" i="1"/>
  <c r="AV270" i="1"/>
  <c r="AW270" i="1" s="1"/>
  <c r="F271" i="1"/>
  <c r="J271" i="1"/>
  <c r="P271" i="1"/>
  <c r="N271" i="1" s="1"/>
  <c r="Q271" i="1"/>
  <c r="O271" i="1" s="1"/>
  <c r="AL271" i="1"/>
  <c r="AM271" i="1" s="1"/>
  <c r="AP271" i="1" s="1"/>
  <c r="AP272" i="1" s="1"/>
  <c r="AO271" i="1"/>
  <c r="AO272" i="1" s="1"/>
  <c r="AR271" i="1"/>
  <c r="AV271" i="1"/>
  <c r="F272" i="1"/>
  <c r="J272" i="1"/>
  <c r="AC272" i="1"/>
  <c r="AM272" i="1"/>
  <c r="AR272" i="1"/>
  <c r="AT272" i="1"/>
  <c r="F273" i="1"/>
  <c r="J273" i="1"/>
  <c r="N273" i="1"/>
  <c r="O273" i="1"/>
  <c r="P273" i="1"/>
  <c r="AC273" i="1"/>
  <c r="AE273" i="1"/>
  <c r="AH273" i="1" s="1"/>
  <c r="AM273" i="1"/>
  <c r="AR273" i="1"/>
  <c r="AW273" i="1"/>
  <c r="F274" i="1"/>
  <c r="J274" i="1"/>
  <c r="O274" i="1"/>
  <c r="Q274" i="1"/>
  <c r="P274" i="1" s="1"/>
  <c r="N274" i="1" s="1"/>
  <c r="AI274" i="1"/>
  <c r="AL274" i="1"/>
  <c r="AR274" i="1" s="1"/>
  <c r="F275" i="1"/>
  <c r="J275" i="1"/>
  <c r="AC275" i="1"/>
  <c r="AC274" i="1" s="1"/>
  <c r="AF274" i="1" s="1"/>
  <c r="AF275" i="1"/>
  <c r="AI275" i="1"/>
  <c r="AJ275" i="1"/>
  <c r="AL275" i="1"/>
  <c r="AR275" i="1" s="1"/>
  <c r="F276" i="1"/>
  <c r="J276" i="1"/>
  <c r="O276" i="1"/>
  <c r="P276" i="1"/>
  <c r="N276" i="1" s="1"/>
  <c r="AC276" i="1"/>
  <c r="AD276" i="1"/>
  <c r="AG276" i="1" s="1"/>
  <c r="AE276" i="1"/>
  <c r="AF276" i="1"/>
  <c r="AH276" i="1"/>
  <c r="AM276" i="1"/>
  <c r="AR276" i="1"/>
  <c r="AW276" i="1"/>
  <c r="F277" i="1"/>
  <c r="J277" i="1"/>
  <c r="N277" i="1"/>
  <c r="O277" i="1"/>
  <c r="P277" i="1"/>
  <c r="Q277" i="1"/>
  <c r="AD277" i="1"/>
  <c r="AG277" i="1" s="1"/>
  <c r="AF277" i="1"/>
  <c r="AJ277" i="1"/>
  <c r="F278" i="1"/>
  <c r="J278" i="1"/>
  <c r="O278" i="1"/>
  <c r="Q278" i="1"/>
  <c r="P278" i="1" s="1"/>
  <c r="N278" i="1" s="1"/>
  <c r="AD278" i="1"/>
  <c r="AF278" i="1"/>
  <c r="AG278" i="1"/>
  <c r="AL278" i="1"/>
  <c r="F279" i="1"/>
  <c r="J279" i="1"/>
  <c r="O279" i="1"/>
  <c r="P279" i="1"/>
  <c r="N279" i="1" s="1"/>
  <c r="AC279" i="1"/>
  <c r="AD279" i="1"/>
  <c r="AG279" i="1" s="1"/>
  <c r="AE279" i="1"/>
  <c r="AF279" i="1"/>
  <c r="AH279" i="1"/>
  <c r="AM279" i="1"/>
  <c r="AR279" i="1"/>
  <c r="AW279" i="1"/>
  <c r="F280" i="1"/>
  <c r="J280" i="1"/>
  <c r="N280" i="1"/>
  <c r="O280" i="1"/>
  <c r="P280" i="1"/>
  <c r="Q280" i="1"/>
  <c r="AD280" i="1"/>
  <c r="AG280" i="1" s="1"/>
  <c r="AF280" i="1"/>
  <c r="AI280" i="1"/>
  <c r="AL280" i="1"/>
  <c r="AR280" i="1" s="1"/>
  <c r="F281" i="1"/>
  <c r="J281" i="1"/>
  <c r="P281" i="1"/>
  <c r="N281" i="1" s="1"/>
  <c r="Q281" i="1"/>
  <c r="O281" i="1" s="1"/>
  <c r="AD281" i="1"/>
  <c r="AF281" i="1"/>
  <c r="AG281" i="1"/>
  <c r="AJ281" i="1"/>
  <c r="AI281" i="1" s="1"/>
  <c r="AR281" i="1" s="1"/>
  <c r="AL281" i="1"/>
  <c r="AM281" i="1"/>
  <c r="AS281" i="1"/>
  <c r="AS280" i="1" s="1"/>
  <c r="F282" i="1"/>
  <c r="J282" i="1"/>
  <c r="N282" i="1"/>
  <c r="O282" i="1"/>
  <c r="P282" i="1"/>
  <c r="AC282" i="1"/>
  <c r="AE282" i="1"/>
  <c r="AH282" i="1" s="1"/>
  <c r="AM282" i="1"/>
  <c r="AR282" i="1"/>
  <c r="AW282" i="1"/>
  <c r="F283" i="1"/>
  <c r="J283" i="1"/>
  <c r="O283" i="1"/>
  <c r="Q283" i="1"/>
  <c r="P283" i="1" s="1"/>
  <c r="N283" i="1" s="1"/>
  <c r="AD283" i="1"/>
  <c r="AG283" i="1" s="1"/>
  <c r="AF283" i="1"/>
  <c r="AI283" i="1"/>
  <c r="AM283" i="1"/>
  <c r="AP283" i="1" s="1"/>
  <c r="AP284" i="1" s="1"/>
  <c r="F284" i="1"/>
  <c r="J284" i="1"/>
  <c r="Q284" i="1"/>
  <c r="AD284" i="1"/>
  <c r="AF284" i="1"/>
  <c r="AG284" i="1"/>
  <c r="AI284" i="1"/>
  <c r="AR284" i="1" s="1"/>
  <c r="AJ284" i="1"/>
  <c r="AL284" i="1"/>
  <c r="AL283" i="1" s="1"/>
  <c r="F285" i="1"/>
  <c r="J285" i="1"/>
  <c r="N285" i="1"/>
  <c r="O285" i="1"/>
  <c r="P285" i="1"/>
  <c r="AC285" i="1"/>
  <c r="AD285" i="1"/>
  <c r="AG285" i="1" s="1"/>
  <c r="AE285" i="1"/>
  <c r="AF285" i="1"/>
  <c r="AH285" i="1"/>
  <c r="AM285" i="1"/>
  <c r="AR285" i="1"/>
  <c r="AW285" i="1"/>
  <c r="F286" i="1"/>
  <c r="J286" i="1"/>
  <c r="O286" i="1"/>
  <c r="P286" i="1"/>
  <c r="N286" i="1" s="1"/>
  <c r="Q286" i="1"/>
  <c r="AD286" i="1"/>
  <c r="AF286" i="1"/>
  <c r="AG286" i="1"/>
  <c r="AI286" i="1"/>
  <c r="AL286" i="1"/>
  <c r="AM286" i="1" s="1"/>
  <c r="AP286" i="1" s="1"/>
  <c r="AO286" i="1"/>
  <c r="AO287" i="1" s="1"/>
  <c r="AR286" i="1"/>
  <c r="AV286" i="1"/>
  <c r="F287" i="1"/>
  <c r="J287" i="1"/>
  <c r="N287" i="1"/>
  <c r="P287" i="1"/>
  <c r="Q287" i="1"/>
  <c r="O287" i="1" s="1"/>
  <c r="AD287" i="1"/>
  <c r="AG287" i="1" s="1"/>
  <c r="AF287" i="1"/>
  <c r="AJ287" i="1"/>
  <c r="AI287" i="1" s="1"/>
  <c r="AR287" i="1" s="1"/>
  <c r="AL287" i="1"/>
  <c r="AM287" i="1"/>
  <c r="AP287" i="1"/>
  <c r="AS287" i="1"/>
  <c r="AS286" i="1" s="1"/>
  <c r="F288" i="1"/>
  <c r="J288" i="1"/>
  <c r="O288" i="1"/>
  <c r="P288" i="1"/>
  <c r="N288" i="1" s="1"/>
  <c r="AC288" i="1"/>
  <c r="AF288" i="1" s="1"/>
  <c r="AE288" i="1"/>
  <c r="AH288" i="1" s="1"/>
  <c r="AM288" i="1"/>
  <c r="AR288" i="1"/>
  <c r="AW288" i="1"/>
  <c r="F289" i="1"/>
  <c r="J289" i="1"/>
  <c r="Q289" i="1"/>
  <c r="AD289" i="1"/>
  <c r="AG289" i="1" s="1"/>
  <c r="AF289" i="1"/>
  <c r="AI289" i="1"/>
  <c r="F290" i="1"/>
  <c r="J290" i="1"/>
  <c r="AD290" i="1"/>
  <c r="AF290" i="1"/>
  <c r="AG290" i="1"/>
  <c r="AI290" i="1"/>
  <c r="AJ290" i="1"/>
  <c r="AL290" i="1"/>
  <c r="AR290" i="1"/>
  <c r="F291" i="1"/>
  <c r="J291" i="1"/>
  <c r="O291" i="1"/>
  <c r="P291" i="1"/>
  <c r="N291" i="1" s="1"/>
  <c r="AC291" i="1"/>
  <c r="AD291" i="1"/>
  <c r="AG291" i="1" s="1"/>
  <c r="AE291" i="1"/>
  <c r="AF291" i="1"/>
  <c r="AH291" i="1"/>
  <c r="AM291" i="1"/>
  <c r="AR291" i="1"/>
  <c r="AW291" i="1"/>
  <c r="F292" i="1"/>
  <c r="J292" i="1"/>
  <c r="N292" i="1"/>
  <c r="O292" i="1"/>
  <c r="P292" i="1"/>
  <c r="Q292" i="1"/>
  <c r="AD292" i="1"/>
  <c r="AG292" i="1" s="1"/>
  <c r="AF292" i="1"/>
  <c r="AI292" i="1"/>
  <c r="AL292" i="1"/>
  <c r="F293" i="1"/>
  <c r="J293" i="1"/>
  <c r="P293" i="1"/>
  <c r="N293" i="1" s="1"/>
  <c r="Q293" i="1"/>
  <c r="O293" i="1" s="1"/>
  <c r="AD293" i="1"/>
  <c r="AF293" i="1"/>
  <c r="AG293" i="1"/>
  <c r="AJ293" i="1"/>
  <c r="AI293" i="1" s="1"/>
  <c r="AR293" i="1" s="1"/>
  <c r="AL293" i="1"/>
  <c r="AM293" i="1"/>
  <c r="AS293" i="1"/>
  <c r="AS292" i="1" s="1"/>
  <c r="F294" i="1"/>
  <c r="J294" i="1"/>
  <c r="N294" i="1"/>
  <c r="O294" i="1"/>
  <c r="P294" i="1"/>
  <c r="AD294" i="1"/>
  <c r="AG294" i="1" s="1"/>
  <c r="AF294" i="1"/>
  <c r="AH294" i="1"/>
  <c r="AM294" i="1"/>
  <c r="AR294" i="1"/>
  <c r="AV294" i="1"/>
  <c r="AW294" i="1" s="1"/>
  <c r="AX294" i="1"/>
  <c r="AX235" i="1" s="1"/>
  <c r="F295" i="1"/>
  <c r="J295" i="1"/>
  <c r="O295" i="1"/>
  <c r="Q295" i="1"/>
  <c r="P295" i="1" s="1"/>
  <c r="N295" i="1" s="1"/>
  <c r="AD295" i="1"/>
  <c r="AF295" i="1"/>
  <c r="AG295" i="1"/>
  <c r="AI295" i="1"/>
  <c r="AI296" i="1" s="1"/>
  <c r="AR296" i="1" s="1"/>
  <c r="AL295" i="1"/>
  <c r="AO295" i="1"/>
  <c r="AO296" i="1" s="1"/>
  <c r="AP295" i="1"/>
  <c r="AR295" i="1"/>
  <c r="AV295" i="1"/>
  <c r="F296" i="1"/>
  <c r="J296" i="1"/>
  <c r="AD296" i="1"/>
  <c r="AG296" i="1" s="1"/>
  <c r="AF296" i="1"/>
  <c r="AJ296" i="1"/>
  <c r="AL296" i="1"/>
  <c r="AM296" i="1"/>
  <c r="AP296" i="1"/>
  <c r="AS296" i="1"/>
  <c r="AS295" i="1" s="1"/>
  <c r="F297" i="1"/>
  <c r="J297" i="1"/>
  <c r="O297" i="1"/>
  <c r="P297" i="1"/>
  <c r="N297" i="1" s="1"/>
  <c r="AD297" i="1"/>
  <c r="AF297" i="1"/>
  <c r="AG297" i="1"/>
  <c r="AH297" i="1"/>
  <c r="AI297" i="1"/>
  <c r="AI235" i="1" s="1"/>
  <c r="AR235" i="1" s="1"/>
  <c r="AK297" i="1"/>
  <c r="AZ306" i="1" s="1"/>
  <c r="AV306" i="1" s="1"/>
  <c r="AM297" i="1"/>
  <c r="AN297" i="1"/>
  <c r="AQ297" i="1" s="1"/>
  <c r="AX297" i="1"/>
  <c r="F298" i="1"/>
  <c r="J298" i="1"/>
  <c r="O298" i="1"/>
  <c r="Q298" i="1"/>
  <c r="P298" i="1" s="1"/>
  <c r="N298" i="1" s="1"/>
  <c r="AC298" i="1"/>
  <c r="AD298" i="1"/>
  <c r="AG298" i="1" s="1"/>
  <c r="AF298" i="1"/>
  <c r="AI298" i="1"/>
  <c r="AJ298" i="1"/>
  <c r="E299" i="1"/>
  <c r="F299" i="1" s="1"/>
  <c r="I299" i="1"/>
  <c r="J299" i="1" s="1"/>
  <c r="AD299" i="1"/>
  <c r="AG299" i="1" s="1"/>
  <c r="AF299" i="1"/>
  <c r="AI299" i="1"/>
  <c r="AJ299" i="1"/>
  <c r="AL299" i="1"/>
  <c r="AL298" i="1" s="1"/>
  <c r="AM299" i="1"/>
  <c r="AT299" i="1"/>
  <c r="BO299" i="1"/>
  <c r="BO298" i="1" s="1"/>
  <c r="BO236" i="1" s="1"/>
  <c r="BP299" i="1"/>
  <c r="BP298" i="1" s="1"/>
  <c r="BP236" i="1" s="1"/>
  <c r="BQ299" i="1"/>
  <c r="BQ298" i="1" s="1"/>
  <c r="BQ236" i="1" s="1"/>
  <c r="F300" i="1"/>
  <c r="J300" i="1"/>
  <c r="O300" i="1"/>
  <c r="P300" i="1"/>
  <c r="N300" i="1" s="1"/>
  <c r="AD300" i="1"/>
  <c r="AG300" i="1" s="1"/>
  <c r="AF300" i="1"/>
  <c r="AH300" i="1"/>
  <c r="AL300" i="1"/>
  <c r="AZ300" i="1" s="1"/>
  <c r="AM300" i="1"/>
  <c r="AN300" i="1"/>
  <c r="AO300" i="1"/>
  <c r="AQ300" i="1"/>
  <c r="AX300" i="1"/>
  <c r="F301" i="1"/>
  <c r="J301" i="1"/>
  <c r="P301" i="1"/>
  <c r="N301" i="1" s="1"/>
  <c r="Q301" i="1"/>
  <c r="O301" i="1" s="1"/>
  <c r="AC301" i="1"/>
  <c r="AD301" i="1" s="1"/>
  <c r="AG301" i="1" s="1"/>
  <c r="AF301" i="1"/>
  <c r="AL301" i="1"/>
  <c r="AM301" i="1" s="1"/>
  <c r="AO301" i="1"/>
  <c r="F302" i="1"/>
  <c r="J302" i="1"/>
  <c r="AD302" i="1"/>
  <c r="AG302" i="1" s="1"/>
  <c r="AF302" i="1"/>
  <c r="AL302" i="1"/>
  <c r="AM302" i="1"/>
  <c r="AP302" i="1" s="1"/>
  <c r="AT302" i="1"/>
  <c r="F303" i="1"/>
  <c r="J303" i="1"/>
  <c r="N303" i="1"/>
  <c r="O303" i="1"/>
  <c r="P303" i="1"/>
  <c r="AD303" i="1"/>
  <c r="AG303" i="1" s="1"/>
  <c r="AF303" i="1"/>
  <c r="AH303" i="1"/>
  <c r="AM303" i="1"/>
  <c r="AN303" i="1"/>
  <c r="AQ303" i="1"/>
  <c r="AX303" i="1"/>
  <c r="F304" i="1"/>
  <c r="J304" i="1"/>
  <c r="N304" i="1"/>
  <c r="O304" i="1"/>
  <c r="P304" i="1"/>
  <c r="Q304" i="1"/>
  <c r="AC304" i="1"/>
  <c r="AL304" i="1"/>
  <c r="AR304" i="1" s="1"/>
  <c r="AR305" i="1" s="1"/>
  <c r="F305" i="1"/>
  <c r="J305" i="1"/>
  <c r="P305" i="1"/>
  <c r="N305" i="1" s="1"/>
  <c r="Q305" i="1"/>
  <c r="O305" i="1" s="1"/>
  <c r="AD305" i="1"/>
  <c r="AF305" i="1"/>
  <c r="AG305" i="1"/>
  <c r="AL305" i="1"/>
  <c r="AO305" i="1" s="1"/>
  <c r="AM305" i="1"/>
  <c r="AP305" i="1"/>
  <c r="AT305" i="1"/>
  <c r="F306" i="1"/>
  <c r="J306" i="1"/>
  <c r="O306" i="1"/>
  <c r="P306" i="1"/>
  <c r="N306" i="1" s="1"/>
  <c r="AD306" i="1"/>
  <c r="AF306" i="1"/>
  <c r="AG306" i="1"/>
  <c r="AH306" i="1"/>
  <c r="AL306" i="1"/>
  <c r="AN306" i="1"/>
  <c r="AQ306" i="1" s="1"/>
  <c r="AX306" i="1"/>
  <c r="F307" i="1"/>
  <c r="J307" i="1"/>
  <c r="O307" i="1"/>
  <c r="Q307" i="1"/>
  <c r="P307" i="1" s="1"/>
  <c r="N307" i="1" s="1"/>
  <c r="AC307" i="1"/>
  <c r="AD307" i="1"/>
  <c r="AG307" i="1" s="1"/>
  <c r="AF307" i="1"/>
  <c r="F308" i="1"/>
  <c r="J308" i="1"/>
  <c r="Q308" i="1"/>
  <c r="AD308" i="1"/>
  <c r="AG308" i="1" s="1"/>
  <c r="AF308" i="1"/>
  <c r="AL308" i="1"/>
  <c r="F309" i="1"/>
  <c r="J309" i="1"/>
  <c r="P309" i="1"/>
  <c r="N309" i="1" s="1"/>
  <c r="Q309" i="1"/>
  <c r="AD309" i="1"/>
  <c r="AF309" i="1"/>
  <c r="AG309" i="1"/>
  <c r="AH309" i="1"/>
  <c r="AM309" i="1"/>
  <c r="AN309" i="1"/>
  <c r="AO309" i="1"/>
  <c r="AQ309" i="1"/>
  <c r="AX309" i="1"/>
  <c r="AX312" i="1" s="1"/>
  <c r="F310" i="1"/>
  <c r="J310" i="1"/>
  <c r="P310" i="1"/>
  <c r="N310" i="1" s="1"/>
  <c r="Q310" i="1"/>
  <c r="O310" i="1" s="1"/>
  <c r="AC310" i="1"/>
  <c r="AD310" i="1" s="1"/>
  <c r="AG310" i="1" s="1"/>
  <c r="AF310" i="1"/>
  <c r="BO310" i="1"/>
  <c r="F311" i="1"/>
  <c r="J311" i="1"/>
  <c r="Q311" i="1"/>
  <c r="AD311" i="1"/>
  <c r="AF311" i="1"/>
  <c r="AG311" i="1"/>
  <c r="AL311" i="1"/>
  <c r="F312" i="1"/>
  <c r="J312" i="1"/>
  <c r="O312" i="1"/>
  <c r="P312" i="1"/>
  <c r="N312" i="1" s="1"/>
  <c r="AD312" i="1"/>
  <c r="AF312" i="1"/>
  <c r="AG312" i="1"/>
  <c r="AH312" i="1"/>
  <c r="AM312" i="1"/>
  <c r="AN312" i="1"/>
  <c r="AQ312" i="1" s="1"/>
  <c r="F313" i="1"/>
  <c r="J313" i="1"/>
  <c r="Q313" i="1"/>
  <c r="AC313" i="1"/>
  <c r="AD313" i="1"/>
  <c r="AF313" i="1"/>
  <c r="AG313" i="1"/>
  <c r="F314" i="1"/>
  <c r="J314" i="1"/>
  <c r="AD314" i="1"/>
  <c r="AG314" i="1" s="1"/>
  <c r="AF314" i="1"/>
  <c r="AL314" i="1"/>
  <c r="AL313" i="1" s="1"/>
  <c r="AO314" i="1"/>
  <c r="F315" i="1"/>
  <c r="J315" i="1"/>
  <c r="N315" i="1"/>
  <c r="O315" i="1"/>
  <c r="P315" i="1"/>
  <c r="AD315" i="1"/>
  <c r="AG315" i="1" s="1"/>
  <c r="AF315" i="1"/>
  <c r="AH315" i="1"/>
  <c r="AM315" i="1"/>
  <c r="AN315" i="1"/>
  <c r="AQ315" i="1" s="1"/>
  <c r="AV315" i="1"/>
  <c r="AW315" i="1"/>
  <c r="AX315" i="1"/>
  <c r="F316" i="1"/>
  <c r="J316" i="1"/>
  <c r="O316" i="1"/>
  <c r="Q316" i="1"/>
  <c r="P316" i="1" s="1"/>
  <c r="N316" i="1" s="1"/>
  <c r="AC316" i="1"/>
  <c r="AF316" i="1" s="1"/>
  <c r="AD316" i="1"/>
  <c r="AG316" i="1" s="1"/>
  <c r="F317" i="1"/>
  <c r="J317" i="1"/>
  <c r="Q317" i="1"/>
  <c r="AD317" i="1"/>
  <c r="AF317" i="1"/>
  <c r="AG317" i="1"/>
  <c r="AL317" i="1"/>
  <c r="F318" i="1"/>
  <c r="J318" i="1"/>
  <c r="O318" i="1"/>
  <c r="P318" i="1"/>
  <c r="N318" i="1" s="1"/>
  <c r="AD318" i="1"/>
  <c r="AF318" i="1"/>
  <c r="AG318" i="1"/>
  <c r="AH318" i="1"/>
  <c r="AM318" i="1"/>
  <c r="AN318" i="1"/>
  <c r="AQ318" i="1" s="1"/>
  <c r="AW318" i="1"/>
  <c r="AX318" i="1"/>
  <c r="F319" i="1"/>
  <c r="J319" i="1"/>
  <c r="N319" i="1"/>
  <c r="P319" i="1"/>
  <c r="Q319" i="1"/>
  <c r="O319" i="1" s="1"/>
  <c r="AC319" i="1"/>
  <c r="AL319" i="1"/>
  <c r="AR319" i="1" s="1"/>
  <c r="AR320" i="1" s="1"/>
  <c r="F320" i="1"/>
  <c r="J320" i="1"/>
  <c r="O320" i="1"/>
  <c r="P320" i="1"/>
  <c r="N320" i="1" s="1"/>
  <c r="Q320" i="1"/>
  <c r="AD320" i="1"/>
  <c r="AF320" i="1"/>
  <c r="AG320" i="1"/>
  <c r="AL320" i="1"/>
  <c r="AM320" i="1"/>
  <c r="AP320" i="1"/>
  <c r="AT320" i="1"/>
  <c r="F321" i="1"/>
  <c r="J321" i="1"/>
  <c r="N321" i="1"/>
  <c r="O321" i="1"/>
  <c r="P321" i="1"/>
  <c r="AD321" i="1"/>
  <c r="AF321" i="1"/>
  <c r="AG321" i="1"/>
  <c r="AH321" i="1"/>
  <c r="AM321" i="1"/>
  <c r="AN321" i="1"/>
  <c r="AO321" i="1"/>
  <c r="AZ321" i="1" s="1"/>
  <c r="AQ321" i="1"/>
  <c r="AW321" i="1"/>
  <c r="AX321" i="1"/>
  <c r="F322" i="1"/>
  <c r="J322" i="1"/>
  <c r="Q322" i="1"/>
  <c r="AD322" i="1"/>
  <c r="AF322" i="1"/>
  <c r="AG322" i="1"/>
  <c r="AL322" i="1"/>
  <c r="AR322" i="1" s="1"/>
  <c r="AR323" i="1" s="1"/>
  <c r="F323" i="1"/>
  <c r="J323" i="1"/>
  <c r="AD323" i="1"/>
  <c r="AF323" i="1"/>
  <c r="AG323" i="1"/>
  <c r="AL323" i="1"/>
  <c r="AM323" i="1"/>
  <c r="AP323" i="1"/>
  <c r="AT323" i="1"/>
  <c r="F324" i="1"/>
  <c r="J324" i="1"/>
  <c r="N324" i="1"/>
  <c r="O324" i="1"/>
  <c r="P324" i="1"/>
  <c r="AD324" i="1"/>
  <c r="AF324" i="1"/>
  <c r="AG324" i="1"/>
  <c r="AH324" i="1"/>
  <c r="AM324" i="1"/>
  <c r="AN324" i="1"/>
  <c r="AO324" i="1"/>
  <c r="AZ324" i="1" s="1"/>
  <c r="AQ324" i="1"/>
  <c r="AW324" i="1"/>
  <c r="AX324" i="1"/>
  <c r="F325" i="1"/>
  <c r="J325" i="1"/>
  <c r="Q325" i="1"/>
  <c r="AD325" i="1"/>
  <c r="AF325" i="1"/>
  <c r="AG325" i="1"/>
  <c r="AL325" i="1"/>
  <c r="F326" i="1"/>
  <c r="J326" i="1"/>
  <c r="AD326" i="1"/>
  <c r="AF326" i="1"/>
  <c r="AG326" i="1"/>
  <c r="AL326" i="1"/>
  <c r="AM326" i="1"/>
  <c r="AP326" i="1"/>
  <c r="AT326" i="1"/>
  <c r="F327" i="1"/>
  <c r="J327" i="1"/>
  <c r="O327" i="1"/>
  <c r="Q327" i="1"/>
  <c r="Q328" i="1" s="1"/>
  <c r="Q329" i="1" s="1"/>
  <c r="AD327" i="1"/>
  <c r="AF327" i="1"/>
  <c r="AG327" i="1"/>
  <c r="AH327" i="1"/>
  <c r="AM327" i="1"/>
  <c r="AW327" i="1"/>
  <c r="AX327" i="1"/>
  <c r="F328" i="1"/>
  <c r="J328" i="1"/>
  <c r="N328" i="1"/>
  <c r="N329" i="1" s="1"/>
  <c r="O328" i="1"/>
  <c r="P328" i="1"/>
  <c r="P329" i="1" s="1"/>
  <c r="AD328" i="1"/>
  <c r="AG328" i="1" s="1"/>
  <c r="AF328" i="1"/>
  <c r="AW328" i="1"/>
  <c r="F329" i="1"/>
  <c r="J329" i="1"/>
  <c r="O329" i="1"/>
  <c r="AD329" i="1"/>
  <c r="AG329" i="1" s="1"/>
  <c r="AF329" i="1"/>
  <c r="AL329" i="1"/>
  <c r="AL328" i="1" s="1"/>
  <c r="AM328" i="1" s="1"/>
  <c r="AP328" i="1" s="1"/>
  <c r="AT329" i="1"/>
  <c r="AW329" i="1"/>
  <c r="F330" i="1"/>
  <c r="J330" i="1"/>
  <c r="O330" i="1"/>
  <c r="P330" i="1"/>
  <c r="N330" i="1" s="1"/>
  <c r="AD330" i="1"/>
  <c r="AF330" i="1"/>
  <c r="AG330" i="1"/>
  <c r="AH330" i="1"/>
  <c r="AM330" i="1"/>
  <c r="AR330" i="1"/>
  <c r="AW330" i="1"/>
  <c r="AX330" i="1"/>
  <c r="F331" i="1"/>
  <c r="J331" i="1"/>
  <c r="Q331" i="1"/>
  <c r="AD331" i="1"/>
  <c r="AF331" i="1"/>
  <c r="AG331" i="1"/>
  <c r="AL331" i="1"/>
  <c r="AR331" i="1"/>
  <c r="AW331" i="1"/>
  <c r="F332" i="1"/>
  <c r="J332" i="1"/>
  <c r="AD332" i="1"/>
  <c r="AF332" i="1"/>
  <c r="AG332" i="1"/>
  <c r="AM332" i="1"/>
  <c r="AP332" i="1" s="1"/>
  <c r="AR332" i="1"/>
  <c r="AT332" i="1"/>
  <c r="AW332" i="1"/>
  <c r="F333" i="1"/>
  <c r="J333" i="1"/>
  <c r="O333" i="1"/>
  <c r="P333" i="1"/>
  <c r="N333" i="1" s="1"/>
  <c r="AD333" i="1"/>
  <c r="AG333" i="1" s="1"/>
  <c r="AF333" i="1"/>
  <c r="AH333" i="1"/>
  <c r="AM333" i="1"/>
  <c r="AO333" i="1"/>
  <c r="AR333" i="1"/>
  <c r="AW333" i="1"/>
  <c r="AX333" i="1"/>
  <c r="F334" i="1"/>
  <c r="J334" i="1"/>
  <c r="O334" i="1"/>
  <c r="Q334" i="1"/>
  <c r="P334" i="1" s="1"/>
  <c r="N334" i="1" s="1"/>
  <c r="AD334" i="1"/>
  <c r="AG334" i="1" s="1"/>
  <c r="AF334" i="1"/>
  <c r="AL334" i="1"/>
  <c r="AR334" i="1"/>
  <c r="AW334" i="1"/>
  <c r="F335" i="1"/>
  <c r="J335" i="1"/>
  <c r="AD335" i="1"/>
  <c r="AG335" i="1" s="1"/>
  <c r="AF335" i="1"/>
  <c r="AM335" i="1"/>
  <c r="AP335" i="1" s="1"/>
  <c r="AR335" i="1"/>
  <c r="AT335" i="1"/>
  <c r="AW335" i="1"/>
  <c r="F336" i="1"/>
  <c r="J336" i="1"/>
  <c r="N336" i="1"/>
  <c r="O336" i="1"/>
  <c r="P336" i="1"/>
  <c r="AD336" i="1"/>
  <c r="AF336" i="1"/>
  <c r="AG336" i="1"/>
  <c r="AH336" i="1"/>
  <c r="AM336" i="1"/>
  <c r="AO336" i="1"/>
  <c r="AR336" i="1"/>
  <c r="AW336" i="1"/>
  <c r="AX336" i="1"/>
  <c r="F337" i="1"/>
  <c r="J337" i="1"/>
  <c r="Q337" i="1"/>
  <c r="AD337" i="1"/>
  <c r="AF337" i="1"/>
  <c r="AG337" i="1"/>
  <c r="AL337" i="1"/>
  <c r="AV337" i="1" s="1"/>
  <c r="AR337" i="1"/>
  <c r="F338" i="1"/>
  <c r="J338" i="1"/>
  <c r="AD338" i="1"/>
  <c r="AG338" i="1" s="1"/>
  <c r="AF338" i="1"/>
  <c r="AM338" i="1"/>
  <c r="AO338" i="1"/>
  <c r="AR338" i="1"/>
  <c r="AT338" i="1"/>
  <c r="F339" i="1"/>
  <c r="J339" i="1"/>
  <c r="O339" i="1"/>
  <c r="P339" i="1"/>
  <c r="N339" i="1" s="1"/>
  <c r="AD339" i="1"/>
  <c r="AF339" i="1"/>
  <c r="AG339" i="1"/>
  <c r="AH339" i="1"/>
  <c r="AM339" i="1"/>
  <c r="AO339" i="1"/>
  <c r="AR339" i="1"/>
  <c r="AV339" i="1"/>
  <c r="AW339" i="1"/>
  <c r="AX339" i="1"/>
  <c r="F340" i="1"/>
  <c r="J340" i="1"/>
  <c r="N340" i="1"/>
  <c r="O340" i="1"/>
  <c r="P340" i="1"/>
  <c r="Q340" i="1"/>
  <c r="AD340" i="1"/>
  <c r="AG340" i="1" s="1"/>
  <c r="AF340" i="1"/>
  <c r="AL340" i="1"/>
  <c r="AM340" i="1"/>
  <c r="AP340" i="1"/>
  <c r="AR340" i="1"/>
  <c r="AT340" i="1"/>
  <c r="AW340" i="1"/>
  <c r="F341" i="1"/>
  <c r="J341" i="1"/>
  <c r="N341" i="1"/>
  <c r="O341" i="1"/>
  <c r="P341" i="1"/>
  <c r="Q341" i="1"/>
  <c r="AD341" i="1"/>
  <c r="AG341" i="1" s="1"/>
  <c r="AF341" i="1"/>
  <c r="AM341" i="1"/>
  <c r="AO341" i="1"/>
  <c r="AR341" i="1"/>
  <c r="AT341" i="1"/>
  <c r="AV341" i="1"/>
  <c r="AW341" i="1" s="1"/>
  <c r="W342" i="1"/>
  <c r="W344" i="1"/>
  <c r="H345" i="1"/>
  <c r="I345" i="1"/>
  <c r="I342" i="1" s="1"/>
  <c r="R345" i="1"/>
  <c r="T345" i="1"/>
  <c r="T342" i="1" s="1"/>
  <c r="U345" i="1"/>
  <c r="U342" i="1" s="1"/>
  <c r="W345" i="1"/>
  <c r="X345" i="1"/>
  <c r="AU345" i="1"/>
  <c r="AU342" i="1" s="1"/>
  <c r="AY345" i="1"/>
  <c r="AY342" i="1" s="1"/>
  <c r="BC345" i="1"/>
  <c r="BC342" i="1" s="1"/>
  <c r="BG345" i="1"/>
  <c r="BG342" i="1" s="1"/>
  <c r="BK345" i="1"/>
  <c r="BK342" i="1" s="1"/>
  <c r="BP345" i="1"/>
  <c r="BP342" i="1" s="1"/>
  <c r="H346" i="1"/>
  <c r="R346" i="1"/>
  <c r="T346" i="1"/>
  <c r="T343" i="1" s="1"/>
  <c r="U346" i="1"/>
  <c r="U343" i="1" s="1"/>
  <c r="W346" i="1"/>
  <c r="W343" i="1" s="1"/>
  <c r="X346" i="1"/>
  <c r="Z346" i="1"/>
  <c r="Z343" i="1" s="1"/>
  <c r="AL346" i="1"/>
  <c r="AL343" i="1" s="1"/>
  <c r="AZ346" i="1"/>
  <c r="AZ343" i="1" s="1"/>
  <c r="BD346" i="1"/>
  <c r="BD343" i="1" s="1"/>
  <c r="BH346" i="1"/>
  <c r="BH343" i="1" s="1"/>
  <c r="BL346" i="1"/>
  <c r="BL343" i="1" s="1"/>
  <c r="E347" i="1"/>
  <c r="E345" i="1" s="1"/>
  <c r="E342" i="1" s="1"/>
  <c r="I347" i="1"/>
  <c r="J347" i="1"/>
  <c r="J345" i="1" s="1"/>
  <c r="S347" i="1"/>
  <c r="Z347" i="1"/>
  <c r="Z345" i="1" s="1"/>
  <c r="Z342" i="1" s="1"/>
  <c r="AB347" i="1"/>
  <c r="AE347" i="1"/>
  <c r="AH347" i="1"/>
  <c r="AI347" i="1"/>
  <c r="AI345" i="1" s="1"/>
  <c r="AJ347" i="1"/>
  <c r="AJ345" i="1" s="1"/>
  <c r="AK347" i="1"/>
  <c r="AN347" i="1"/>
  <c r="AQ347" i="1"/>
  <c r="AS347" i="1"/>
  <c r="AS345" i="1" s="1"/>
  <c r="AS342" i="1" s="1"/>
  <c r="AT347" i="1"/>
  <c r="AT345" i="1" s="1"/>
  <c r="AT342" i="1" s="1"/>
  <c r="AU347" i="1"/>
  <c r="AX347" i="1"/>
  <c r="AX345" i="1" s="1"/>
  <c r="AX342" i="1" s="1"/>
  <c r="AY347" i="1"/>
  <c r="AZ347" i="1"/>
  <c r="AZ345" i="1" s="1"/>
  <c r="AZ342" i="1" s="1"/>
  <c r="BA347" i="1"/>
  <c r="BA345" i="1" s="1"/>
  <c r="BA342" i="1" s="1"/>
  <c r="BB347" i="1"/>
  <c r="BB345" i="1" s="1"/>
  <c r="BB342" i="1" s="1"/>
  <c r="BC347" i="1"/>
  <c r="BD347" i="1"/>
  <c r="BD345" i="1" s="1"/>
  <c r="BD342" i="1" s="1"/>
  <c r="BE347" i="1"/>
  <c r="BE345" i="1" s="1"/>
  <c r="BE342" i="1" s="1"/>
  <c r="BF347" i="1"/>
  <c r="BF345" i="1" s="1"/>
  <c r="BF342" i="1" s="1"/>
  <c r="BG347" i="1"/>
  <c r="BH347" i="1"/>
  <c r="BH345" i="1" s="1"/>
  <c r="BH342" i="1" s="1"/>
  <c r="BI347" i="1"/>
  <c r="BI345" i="1" s="1"/>
  <c r="BI342" i="1" s="1"/>
  <c r="BJ347" i="1"/>
  <c r="BJ345" i="1" s="1"/>
  <c r="BJ342" i="1" s="1"/>
  <c r="BK347" i="1"/>
  <c r="BN347" i="1"/>
  <c r="BN345" i="1" s="1"/>
  <c r="BN342" i="1" s="1"/>
  <c r="BO347" i="1"/>
  <c r="BO345" i="1" s="1"/>
  <c r="BO342" i="1" s="1"/>
  <c r="BP347" i="1"/>
  <c r="BQ347" i="1"/>
  <c r="BQ345" i="1" s="1"/>
  <c r="BQ342" i="1" s="1"/>
  <c r="BR347" i="1"/>
  <c r="BS347" i="1"/>
  <c r="BT347" i="1"/>
  <c r="E348" i="1"/>
  <c r="E346" i="1" s="1"/>
  <c r="I348" i="1"/>
  <c r="I346" i="1" s="1"/>
  <c r="S348" i="1"/>
  <c r="Z348" i="1"/>
  <c r="AB348" i="1"/>
  <c r="AC348" i="1"/>
  <c r="AC346" i="1" s="1"/>
  <c r="AE348" i="1"/>
  <c r="AH348" i="1"/>
  <c r="AI348" i="1"/>
  <c r="AI346" i="1" s="1"/>
  <c r="AK348" i="1"/>
  <c r="AL348" i="1"/>
  <c r="AN348" i="1"/>
  <c r="AQ348" i="1"/>
  <c r="AS348" i="1"/>
  <c r="AS346" i="1" s="1"/>
  <c r="AT348" i="1"/>
  <c r="AT346" i="1" s="1"/>
  <c r="AU348" i="1"/>
  <c r="AU346" i="1" s="1"/>
  <c r="AX348" i="1"/>
  <c r="AX346" i="1" s="1"/>
  <c r="AY348" i="1"/>
  <c r="AY346" i="1" s="1"/>
  <c r="AZ348" i="1"/>
  <c r="BA348" i="1"/>
  <c r="BA346" i="1" s="1"/>
  <c r="BB348" i="1"/>
  <c r="BB346" i="1" s="1"/>
  <c r="BC348" i="1"/>
  <c r="BC346" i="1" s="1"/>
  <c r="BD348" i="1"/>
  <c r="BE348" i="1"/>
  <c r="BE346" i="1" s="1"/>
  <c r="BF348" i="1"/>
  <c r="BF346" i="1" s="1"/>
  <c r="BG348" i="1"/>
  <c r="BG346" i="1" s="1"/>
  <c r="BH348" i="1"/>
  <c r="BI348" i="1"/>
  <c r="BI346" i="1" s="1"/>
  <c r="BJ348" i="1"/>
  <c r="BJ346" i="1" s="1"/>
  <c r="BK348" i="1"/>
  <c r="BK346" i="1" s="1"/>
  <c r="BL348" i="1"/>
  <c r="BM348" i="1"/>
  <c r="BN348" i="1"/>
  <c r="BN346" i="1" s="1"/>
  <c r="BO348" i="1"/>
  <c r="BO346" i="1" s="1"/>
  <c r="BP348" i="1"/>
  <c r="BP346" i="1" s="1"/>
  <c r="BQ348" i="1"/>
  <c r="BQ346" i="1" s="1"/>
  <c r="BR348" i="1"/>
  <c r="BS348" i="1"/>
  <c r="BT348" i="1"/>
  <c r="F349" i="1"/>
  <c r="F347" i="1" s="1"/>
  <c r="F345" i="1" s="1"/>
  <c r="J349" i="1"/>
  <c r="P349" i="1"/>
  <c r="Q349" i="1" s="1"/>
  <c r="U349" i="1"/>
  <c r="X349" i="1"/>
  <c r="AA349" i="1"/>
  <c r="AA347" i="1" s="1"/>
  <c r="AA345" i="1" s="1"/>
  <c r="AD349" i="1"/>
  <c r="AD347" i="1" s="1"/>
  <c r="AD345" i="1" s="1"/>
  <c r="AD342" i="1" s="1"/>
  <c r="AF349" i="1"/>
  <c r="AO349" i="1"/>
  <c r="AO347" i="1" s="1"/>
  <c r="AP349" i="1"/>
  <c r="AR349" i="1"/>
  <c r="F350" i="1"/>
  <c r="F348" i="1" s="1"/>
  <c r="F346" i="1" s="1"/>
  <c r="J350" i="1"/>
  <c r="J348" i="1" s="1"/>
  <c r="J346" i="1" s="1"/>
  <c r="U350" i="1"/>
  <c r="X350" i="1"/>
  <c r="AA350" i="1"/>
  <c r="AA348" i="1" s="1"/>
  <c r="AA346" i="1" s="1"/>
  <c r="AD350" i="1"/>
  <c r="AF350" i="1"/>
  <c r="AF348" i="1" s="1"/>
  <c r="AF346" i="1" s="1"/>
  <c r="AG350" i="1"/>
  <c r="AG348" i="1" s="1"/>
  <c r="AG346" i="1" s="1"/>
  <c r="AJ350" i="1"/>
  <c r="AJ348" i="1" s="1"/>
  <c r="AJ346" i="1" s="1"/>
  <c r="AM350" i="1"/>
  <c r="AM348" i="1" s="1"/>
  <c r="AM346" i="1" s="1"/>
  <c r="AO350" i="1"/>
  <c r="AP350" i="1"/>
  <c r="AP348" i="1" s="1"/>
  <c r="AP346" i="1" s="1"/>
  <c r="AR350" i="1"/>
  <c r="N351" i="1"/>
  <c r="O351" i="1" s="1"/>
  <c r="P351" i="1"/>
  <c r="AV351" i="1" s="1"/>
  <c r="AW351" i="1" s="1"/>
  <c r="U351" i="1"/>
  <c r="X351" i="1"/>
  <c r="AA351" i="1"/>
  <c r="AG351" i="1" s="1"/>
  <c r="AD351" i="1"/>
  <c r="AF351" i="1"/>
  <c r="AO351" i="1"/>
  <c r="AP351" i="1"/>
  <c r="AR351" i="1"/>
  <c r="U352" i="1"/>
  <c r="X352" i="1"/>
  <c r="AG352" i="1" s="1"/>
  <c r="AA352" i="1"/>
  <c r="AD352" i="1"/>
  <c r="AF352" i="1"/>
  <c r="AJ352" i="1"/>
  <c r="AM352" i="1"/>
  <c r="AO352" i="1"/>
  <c r="AP352" i="1"/>
  <c r="AR352" i="1"/>
  <c r="AW352" i="1"/>
  <c r="P353" i="1"/>
  <c r="N353" i="1" s="1"/>
  <c r="O353" i="1" s="1"/>
  <c r="Q353" i="1"/>
  <c r="U353" i="1"/>
  <c r="X353" i="1"/>
  <c r="AA353" i="1"/>
  <c r="AD353" i="1"/>
  <c r="AF353" i="1"/>
  <c r="AG353" i="1"/>
  <c r="AJ353" i="1"/>
  <c r="AL353" i="1"/>
  <c r="AL347" i="1" s="1"/>
  <c r="AO353" i="1"/>
  <c r="BL353" i="1" s="1"/>
  <c r="AR353" i="1"/>
  <c r="AW353" i="1"/>
  <c r="U354" i="1"/>
  <c r="X354" i="1"/>
  <c r="AA354" i="1"/>
  <c r="AD354" i="1"/>
  <c r="AG354" i="1" s="1"/>
  <c r="AF354" i="1"/>
  <c r="AM354" i="1"/>
  <c r="AO354" i="1"/>
  <c r="AO348" i="1" s="1"/>
  <c r="AO346" i="1" s="1"/>
  <c r="AP354" i="1"/>
  <c r="AR354" i="1"/>
  <c r="N355" i="1"/>
  <c r="O355" i="1"/>
  <c r="P355" i="1"/>
  <c r="Q355" i="1"/>
  <c r="U355" i="1"/>
  <c r="X355" i="1"/>
  <c r="AG355" i="1" s="1"/>
  <c r="AA355" i="1"/>
  <c r="AF355" i="1"/>
  <c r="AJ355" i="1"/>
  <c r="AL355" i="1"/>
  <c r="AM355" i="1"/>
  <c r="AP355" i="1" s="1"/>
  <c r="AO355" i="1"/>
  <c r="AR355" i="1"/>
  <c r="AW355" i="1"/>
  <c r="BL355" i="1"/>
  <c r="P356" i="1"/>
  <c r="Q356" i="1" s="1"/>
  <c r="U356" i="1"/>
  <c r="X356" i="1"/>
  <c r="AA356" i="1"/>
  <c r="AG356" i="1" s="1"/>
  <c r="AD356" i="1"/>
  <c r="AF356" i="1"/>
  <c r="AM356" i="1"/>
  <c r="AP356" i="1" s="1"/>
  <c r="AO356" i="1"/>
  <c r="AR356" i="1"/>
  <c r="AV356" i="1"/>
  <c r="AW356" i="1" s="1"/>
  <c r="P357" i="1"/>
  <c r="Q357" i="1" s="1"/>
  <c r="U357" i="1"/>
  <c r="X357" i="1"/>
  <c r="AA357" i="1"/>
  <c r="AG357" i="1" s="1"/>
  <c r="AC357" i="1"/>
  <c r="AC347" i="1" s="1"/>
  <c r="AC345" i="1" s="1"/>
  <c r="AC342" i="1" s="1"/>
  <c r="AD357" i="1"/>
  <c r="AM357" i="1"/>
  <c r="AP357" i="1" s="1"/>
  <c r="AO357" i="1"/>
  <c r="AR357" i="1"/>
  <c r="U358" i="1"/>
  <c r="X358" i="1"/>
  <c r="AA358" i="1"/>
  <c r="AC358" i="1"/>
  <c r="AD358" i="1" s="1"/>
  <c r="AG358" i="1" s="1"/>
  <c r="AF358" i="1"/>
  <c r="AM358" i="1"/>
  <c r="AO358" i="1"/>
  <c r="AP358" i="1"/>
  <c r="AR358" i="1"/>
  <c r="N359" i="1"/>
  <c r="O359" i="1" s="1"/>
  <c r="P359" i="1"/>
  <c r="Q359" i="1" s="1"/>
  <c r="U359" i="1"/>
  <c r="X359" i="1"/>
  <c r="AA359" i="1"/>
  <c r="AG359" i="1" s="1"/>
  <c r="AD359" i="1"/>
  <c r="AF359" i="1"/>
  <c r="AV359" i="1" s="1"/>
  <c r="AW359" i="1" s="1"/>
  <c r="AM359" i="1"/>
  <c r="AO359" i="1"/>
  <c r="AP359" i="1"/>
  <c r="AR359" i="1"/>
  <c r="N360" i="1"/>
  <c r="O360" i="1" s="1"/>
  <c r="P360" i="1"/>
  <c r="Q360" i="1" s="1"/>
  <c r="U360" i="1"/>
  <c r="X360" i="1"/>
  <c r="AA360" i="1"/>
  <c r="AG360" i="1" s="1"/>
  <c r="AD360" i="1"/>
  <c r="AF360" i="1"/>
  <c r="AV360" i="1" s="1"/>
  <c r="AW360" i="1" s="1"/>
  <c r="AM360" i="1"/>
  <c r="AO360" i="1"/>
  <c r="AP360" i="1"/>
  <c r="AR360" i="1"/>
  <c r="E361" i="1"/>
  <c r="I361" i="1"/>
  <c r="P361" i="1"/>
  <c r="T361" i="1"/>
  <c r="U361" i="1"/>
  <c r="W361" i="1"/>
  <c r="Z361" i="1"/>
  <c r="AC361" i="1"/>
  <c r="AF361" i="1"/>
  <c r="AI361" i="1"/>
  <c r="AL361" i="1"/>
  <c r="AN361" i="1"/>
  <c r="AQ361" i="1"/>
  <c r="AR361" i="1"/>
  <c r="AS361" i="1"/>
  <c r="AT361" i="1"/>
  <c r="AU361" i="1"/>
  <c r="AV361" i="1"/>
  <c r="AX361" i="1"/>
  <c r="AY361" i="1"/>
  <c r="AZ361" i="1"/>
  <c r="BA361" i="1"/>
  <c r="BB361" i="1"/>
  <c r="BC361" i="1"/>
  <c r="BD361" i="1"/>
  <c r="BE361" i="1"/>
  <c r="BF361" i="1"/>
  <c r="BG361" i="1"/>
  <c r="BH361" i="1"/>
  <c r="BI361" i="1"/>
  <c r="BJ361" i="1"/>
  <c r="BK361" i="1"/>
  <c r="BL361" i="1"/>
  <c r="BN361" i="1"/>
  <c r="BO361" i="1"/>
  <c r="BP361" i="1"/>
  <c r="BQ361" i="1"/>
  <c r="P362" i="1"/>
  <c r="T362" i="1"/>
  <c r="U362" i="1"/>
  <c r="W362" i="1"/>
  <c r="Z362" i="1"/>
  <c r="AA362" i="1"/>
  <c r="AC362" i="1"/>
  <c r="AI362" i="1"/>
  <c r="AL362" i="1"/>
  <c r="AM362" i="1"/>
  <c r="AN362" i="1"/>
  <c r="AO362" i="1"/>
  <c r="AQ362" i="1"/>
  <c r="AR362" i="1"/>
  <c r="AS362" i="1"/>
  <c r="AT362" i="1"/>
  <c r="AU362" i="1"/>
  <c r="AX362" i="1"/>
  <c r="AY362" i="1"/>
  <c r="AZ362" i="1"/>
  <c r="BA362" i="1"/>
  <c r="BB362" i="1"/>
  <c r="BC362" i="1"/>
  <c r="BD362" i="1"/>
  <c r="BE362" i="1"/>
  <c r="BF362" i="1"/>
  <c r="BG362" i="1"/>
  <c r="BH362" i="1"/>
  <c r="BI362" i="1"/>
  <c r="BJ362" i="1"/>
  <c r="BK362" i="1"/>
  <c r="BL362" i="1"/>
  <c r="BN362" i="1"/>
  <c r="BO362" i="1"/>
  <c r="BP362" i="1"/>
  <c r="BQ362" i="1"/>
  <c r="F363" i="1"/>
  <c r="F361" i="1" s="1"/>
  <c r="J363" i="1"/>
  <c r="J361" i="1" s="1"/>
  <c r="N363" i="1"/>
  <c r="O363" i="1" s="1"/>
  <c r="Q363" i="1"/>
  <c r="Q361" i="1" s="1"/>
  <c r="U363" i="1"/>
  <c r="X363" i="1"/>
  <c r="X361" i="1" s="1"/>
  <c r="AA363" i="1"/>
  <c r="AA361" i="1" s="1"/>
  <c r="AD363" i="1"/>
  <c r="AD361" i="1" s="1"/>
  <c r="AF363" i="1"/>
  <c r="AG363" i="1"/>
  <c r="AG361" i="1" s="1"/>
  <c r="AJ363" i="1"/>
  <c r="AJ361" i="1" s="1"/>
  <c r="AM363" i="1"/>
  <c r="AM361" i="1" s="1"/>
  <c r="AO363" i="1"/>
  <c r="AO361" i="1" s="1"/>
  <c r="AP363" i="1"/>
  <c r="AP361" i="1" s="1"/>
  <c r="AR363" i="1"/>
  <c r="AW363" i="1"/>
  <c r="AW361" i="1" s="1"/>
  <c r="BL363" i="1"/>
  <c r="E364" i="1"/>
  <c r="F364" i="1" s="1"/>
  <c r="F362" i="1" s="1"/>
  <c r="I364" i="1"/>
  <c r="I362" i="1" s="1"/>
  <c r="N364" i="1"/>
  <c r="N362" i="1" s="1"/>
  <c r="Q364" i="1"/>
  <c r="Q362" i="1" s="1"/>
  <c r="U364" i="1"/>
  <c r="X364" i="1"/>
  <c r="X362" i="1" s="1"/>
  <c r="AA364" i="1"/>
  <c r="AD364" i="1"/>
  <c r="AD362" i="1" s="1"/>
  <c r="AF364" i="1"/>
  <c r="AF362" i="1" s="1"/>
  <c r="AG364" i="1"/>
  <c r="AG362" i="1" s="1"/>
  <c r="AJ364" i="1"/>
  <c r="AJ362" i="1" s="1"/>
  <c r="AM364" i="1"/>
  <c r="AO364" i="1"/>
  <c r="AP364" i="1"/>
  <c r="AP362" i="1" s="1"/>
  <c r="AR364" i="1"/>
  <c r="AV364" i="1"/>
  <c r="AV362" i="1" s="1"/>
  <c r="AG343" i="1" l="1"/>
  <c r="AG344" i="1"/>
  <c r="BO343" i="1"/>
  <c r="BO344" i="1"/>
  <c r="BG344" i="1"/>
  <c r="BG343" i="1"/>
  <c r="AS343" i="1"/>
  <c r="AS344" i="1"/>
  <c r="I344" i="1"/>
  <c r="I343" i="1"/>
  <c r="J342" i="1"/>
  <c r="AW337" i="1"/>
  <c r="AV338" i="1"/>
  <c r="AW338" i="1" s="1"/>
  <c r="AF343" i="1"/>
  <c r="AF344" i="1"/>
  <c r="AA342" i="1"/>
  <c r="BN343" i="1"/>
  <c r="BN344" i="1"/>
  <c r="BJ344" i="1"/>
  <c r="BJ343" i="1"/>
  <c r="BF344" i="1"/>
  <c r="BF343" i="1"/>
  <c r="BB343" i="1"/>
  <c r="BB344" i="1"/>
  <c r="AX344" i="1"/>
  <c r="AX343" i="1"/>
  <c r="AR346" i="1"/>
  <c r="AI344" i="1"/>
  <c r="AI343" i="1"/>
  <c r="AR343" i="1" s="1"/>
  <c r="E343" i="1"/>
  <c r="AJ342" i="1"/>
  <c r="X342" i="1"/>
  <c r="AP344" i="1"/>
  <c r="AP343" i="1"/>
  <c r="BC344" i="1"/>
  <c r="BC343" i="1"/>
  <c r="AO343" i="1"/>
  <c r="AO344" i="1"/>
  <c r="AM343" i="1"/>
  <c r="AM344" i="1"/>
  <c r="AD348" i="1"/>
  <c r="AD346" i="1" s="1"/>
  <c r="BL347" i="1"/>
  <c r="BL345" i="1" s="1"/>
  <c r="BL342" i="1" s="1"/>
  <c r="BW342" i="1" s="1"/>
  <c r="AO345" i="1"/>
  <c r="AO342" i="1" s="1"/>
  <c r="F342" i="1"/>
  <c r="BQ343" i="1"/>
  <c r="BQ344" i="1"/>
  <c r="BI343" i="1"/>
  <c r="BI344" i="1"/>
  <c r="BE343" i="1"/>
  <c r="BE344" i="1"/>
  <c r="BA343" i="1"/>
  <c r="BA344" i="1"/>
  <c r="AU344" i="1"/>
  <c r="AU343" i="1"/>
  <c r="AR345" i="1"/>
  <c r="AI342" i="1"/>
  <c r="AR342" i="1" s="1"/>
  <c r="AL345" i="1"/>
  <c r="AL342" i="1" s="1"/>
  <c r="AR347" i="1"/>
  <c r="BK344" i="1"/>
  <c r="BK343" i="1"/>
  <c r="AY344" i="1"/>
  <c r="AY343" i="1"/>
  <c r="AC344" i="1"/>
  <c r="AC343" i="1"/>
  <c r="X344" i="1"/>
  <c r="X343" i="1"/>
  <c r="O361" i="1"/>
  <c r="O364" i="1"/>
  <c r="O362" i="1" s="1"/>
  <c r="AJ344" i="1"/>
  <c r="AJ343" i="1"/>
  <c r="AA343" i="1"/>
  <c r="AA344" i="1"/>
  <c r="F343" i="1"/>
  <c r="F344" i="1"/>
  <c r="BP344" i="1"/>
  <c r="BP343" i="1"/>
  <c r="AT344" i="1"/>
  <c r="AT343" i="1"/>
  <c r="AV307" i="1"/>
  <c r="AW306" i="1"/>
  <c r="N361" i="1"/>
  <c r="Q338" i="1"/>
  <c r="P337" i="1"/>
  <c r="N337" i="1" s="1"/>
  <c r="AM331" i="1"/>
  <c r="AP331" i="1" s="1"/>
  <c r="AT331" i="1"/>
  <c r="AO331" i="1"/>
  <c r="AM325" i="1"/>
  <c r="AP325" i="1" s="1"/>
  <c r="AT325" i="1"/>
  <c r="AO325" i="1"/>
  <c r="AV325" i="1"/>
  <c r="AD304" i="1"/>
  <c r="AG304" i="1" s="1"/>
  <c r="AF304" i="1"/>
  <c r="AD272" i="1"/>
  <c r="AG272" i="1" s="1"/>
  <c r="AC271" i="1"/>
  <c r="AF272" i="1"/>
  <c r="O256" i="1"/>
  <c r="Q257" i="1"/>
  <c r="P256" i="1"/>
  <c r="N256" i="1" s="1"/>
  <c r="O245" i="1"/>
  <c r="P245" i="1"/>
  <c r="N245" i="1" s="1"/>
  <c r="AD242" i="1"/>
  <c r="AG242" i="1" s="1"/>
  <c r="AF242" i="1"/>
  <c r="AJ236" i="1"/>
  <c r="N238" i="1"/>
  <c r="AW221" i="1"/>
  <c r="AV222" i="1"/>
  <c r="AW222" i="1" s="1"/>
  <c r="AI216" i="1"/>
  <c r="AO218" i="1"/>
  <c r="AO224" i="1"/>
  <c r="AO227" i="1"/>
  <c r="BO120" i="1"/>
  <c r="BO121" i="1" s="1"/>
  <c r="AV152" i="1"/>
  <c r="N152" i="1"/>
  <c r="AW364" i="1"/>
  <c r="AW362" i="1" s="1"/>
  <c r="J364" i="1"/>
  <c r="J362" i="1" s="1"/>
  <c r="J344" i="1" s="1"/>
  <c r="E362" i="1"/>
  <c r="E344" i="1" s="1"/>
  <c r="AF357" i="1"/>
  <c r="AF347" i="1" s="1"/>
  <c r="AF345" i="1" s="1"/>
  <c r="AF342" i="1" s="1"/>
  <c r="P354" i="1"/>
  <c r="AM353" i="1"/>
  <c r="Q351" i="1"/>
  <c r="Q347" i="1" s="1"/>
  <c r="Q345" i="1" s="1"/>
  <c r="Q342" i="1" s="1"/>
  <c r="AV349" i="1"/>
  <c r="AG349" i="1"/>
  <c r="AG347" i="1" s="1"/>
  <c r="AG345" i="1" s="1"/>
  <c r="AG342" i="1" s="1"/>
  <c r="AR348" i="1"/>
  <c r="P347" i="1"/>
  <c r="P345" i="1" s="1"/>
  <c r="P342" i="1" s="1"/>
  <c r="U344" i="1"/>
  <c r="O337" i="1"/>
  <c r="Q335" i="1"/>
  <c r="AO329" i="1"/>
  <c r="Q235" i="1"/>
  <c r="O308" i="1"/>
  <c r="P308" i="1"/>
  <c r="N308" i="1" s="1"/>
  <c r="AO306" i="1"/>
  <c r="AP301" i="1"/>
  <c r="AV300" i="1"/>
  <c r="AR298" i="1"/>
  <c r="AR299" i="1" s="1"/>
  <c r="AM298" i="1"/>
  <c r="AT298" i="1"/>
  <c r="AO298" i="1"/>
  <c r="O289" i="1"/>
  <c r="Q290" i="1"/>
  <c r="P289" i="1"/>
  <c r="N289" i="1" s="1"/>
  <c r="AR283" i="1"/>
  <c r="AD282" i="1"/>
  <c r="AG282" i="1" s="1"/>
  <c r="AF282" i="1"/>
  <c r="AD274" i="1"/>
  <c r="AG274" i="1" s="1"/>
  <c r="O268" i="1"/>
  <c r="Q269" i="1"/>
  <c r="P268" i="1"/>
  <c r="N268" i="1" s="1"/>
  <c r="O253" i="1"/>
  <c r="P253" i="1"/>
  <c r="N253" i="1" s="1"/>
  <c r="Q254" i="1"/>
  <c r="AD251" i="1"/>
  <c r="AG251" i="1" s="1"/>
  <c r="AF251" i="1"/>
  <c r="AG247" i="1"/>
  <c r="AC247" i="1"/>
  <c r="AD248" i="1"/>
  <c r="J238" i="1"/>
  <c r="J236" i="1" s="1"/>
  <c r="I236" i="1"/>
  <c r="J235" i="1"/>
  <c r="AO233" i="1"/>
  <c r="AM230" i="1"/>
  <c r="AT230" i="1"/>
  <c r="AO230" i="1"/>
  <c r="AL231" i="1"/>
  <c r="AJ218" i="1"/>
  <c r="AJ216" i="1" s="1"/>
  <c r="AY215" i="1"/>
  <c r="AM185" i="1"/>
  <c r="AT185" i="1"/>
  <c r="AW171" i="1"/>
  <c r="AV186" i="1"/>
  <c r="AW186" i="1" s="1"/>
  <c r="AV183" i="1"/>
  <c r="AM337" i="1"/>
  <c r="AP337" i="1" s="1"/>
  <c r="AT337" i="1"/>
  <c r="AM334" i="1"/>
  <c r="AP334" i="1" s="1"/>
  <c r="AT334" i="1"/>
  <c r="O284" i="1"/>
  <c r="P284" i="1"/>
  <c r="N284" i="1" s="1"/>
  <c r="AI277" i="1"/>
  <c r="AJ278" i="1"/>
  <c r="AI278" i="1" s="1"/>
  <c r="AR278" i="1" s="1"/>
  <c r="N357" i="1"/>
  <c r="O357" i="1" s="1"/>
  <c r="N356" i="1"/>
  <c r="O356" i="1" s="1"/>
  <c r="N349" i="1"/>
  <c r="BL344" i="1"/>
  <c r="BH344" i="1"/>
  <c r="BD344" i="1"/>
  <c r="AZ344" i="1"/>
  <c r="AL344" i="1"/>
  <c r="Z344" i="1"/>
  <c r="T344" i="1"/>
  <c r="AO328" i="1"/>
  <c r="AT328" i="1"/>
  <c r="AM322" i="1"/>
  <c r="AP322" i="1" s="1"/>
  <c r="AT322" i="1"/>
  <c r="AO322" i="1"/>
  <c r="AV322" i="1"/>
  <c r="Q323" i="1"/>
  <c r="O322" i="1"/>
  <c r="P322" i="1"/>
  <c r="N322" i="1" s="1"/>
  <c r="AM319" i="1"/>
  <c r="AP319" i="1" s="1"/>
  <c r="AT319" i="1"/>
  <c r="AO319" i="1"/>
  <c r="AV319" i="1"/>
  <c r="AR315" i="1"/>
  <c r="AM308" i="1"/>
  <c r="AP308" i="1" s="1"/>
  <c r="AT308" i="1"/>
  <c r="AO308" i="1"/>
  <c r="AL307" i="1"/>
  <c r="AP338" i="1"/>
  <c r="AP341" i="1"/>
  <c r="AO302" i="1"/>
  <c r="AO315" i="1"/>
  <c r="AZ315" i="1" s="1"/>
  <c r="AO332" i="1"/>
  <c r="AR297" i="1"/>
  <c r="AZ297" i="1"/>
  <c r="AR301" i="1"/>
  <c r="AR302" i="1" s="1"/>
  <c r="AO303" i="1"/>
  <c r="AR312" i="1"/>
  <c r="AR318" i="1"/>
  <c r="AO327" i="1"/>
  <c r="AO330" i="1"/>
  <c r="AK235" i="1"/>
  <c r="AR309" i="1"/>
  <c r="AZ309" i="1"/>
  <c r="AV309" i="1" s="1"/>
  <c r="AO312" i="1"/>
  <c r="AZ312" i="1" s="1"/>
  <c r="AO318" i="1"/>
  <c r="AZ318" i="1" s="1"/>
  <c r="AO320" i="1"/>
  <c r="AR321" i="1"/>
  <c r="AO323" i="1"/>
  <c r="AR324" i="1"/>
  <c r="AO326" i="1"/>
  <c r="AO335" i="1"/>
  <c r="AO340" i="1"/>
  <c r="AW286" i="1"/>
  <c r="AV287" i="1"/>
  <c r="AW287" i="1" s="1"/>
  <c r="AO283" i="1"/>
  <c r="AO284" i="1" s="1"/>
  <c r="AV283" i="1"/>
  <c r="AL277" i="1"/>
  <c r="AM278" i="1"/>
  <c r="AS278" i="1"/>
  <c r="AS277" i="1" s="1"/>
  <c r="AM275" i="1"/>
  <c r="AS275" i="1"/>
  <c r="AS274" i="1" s="1"/>
  <c r="O263" i="1"/>
  <c r="P263" i="1"/>
  <c r="N263" i="1" s="1"/>
  <c r="AD261" i="1"/>
  <c r="AG261" i="1" s="1"/>
  <c r="AF261" i="1"/>
  <c r="AF235" i="1" s="1"/>
  <c r="AF119" i="1" s="1"/>
  <c r="AJ254" i="1"/>
  <c r="AR254" i="1"/>
  <c r="AP239" i="1"/>
  <c r="F236" i="1"/>
  <c r="AJ235" i="1"/>
  <c r="P235" i="1"/>
  <c r="F235" i="1"/>
  <c r="AO207" i="1"/>
  <c r="AV207" i="1"/>
  <c r="AW207" i="1" s="1"/>
  <c r="AM207" i="1"/>
  <c r="AT207" i="1"/>
  <c r="AL208" i="1"/>
  <c r="O331" i="1"/>
  <c r="P331" i="1"/>
  <c r="N331" i="1" s="1"/>
  <c r="Q326" i="1"/>
  <c r="O325" i="1"/>
  <c r="P325" i="1"/>
  <c r="N325" i="1" s="1"/>
  <c r="AP324" i="1"/>
  <c r="AQ235" i="1"/>
  <c r="AM292" i="1"/>
  <c r="AP292" i="1" s="1"/>
  <c r="AP293" i="1" s="1"/>
  <c r="AO292" i="1"/>
  <c r="AO293" i="1" s="1"/>
  <c r="AV292" i="1"/>
  <c r="AW271" i="1"/>
  <c r="AV272" i="1"/>
  <c r="AW272" i="1" s="1"/>
  <c r="AD265" i="1"/>
  <c r="AG265" i="1" s="1"/>
  <c r="AF265" i="1"/>
  <c r="AM251" i="1"/>
  <c r="AT251" i="1"/>
  <c r="N235" i="1"/>
  <c r="O227" i="1"/>
  <c r="P227" i="1"/>
  <c r="N227" i="1" s="1"/>
  <c r="Q228" i="1"/>
  <c r="AP215" i="1"/>
  <c r="AK172" i="1"/>
  <c r="AY186" i="1"/>
  <c r="AZ174" i="1"/>
  <c r="AO177" i="1"/>
  <c r="AZ177" i="1"/>
  <c r="AY183" i="1"/>
  <c r="AO186" i="1"/>
  <c r="AP186" i="1" s="1"/>
  <c r="AZ186" i="1"/>
  <c r="AY189" i="1"/>
  <c r="AO189" i="1"/>
  <c r="AP189" i="1" s="1"/>
  <c r="AZ189" i="1"/>
  <c r="P358" i="1"/>
  <c r="AV357" i="1"/>
  <c r="AW357" i="1" s="1"/>
  <c r="P352" i="1"/>
  <c r="P350" i="1"/>
  <c r="AO337" i="1"/>
  <c r="AO334" i="1"/>
  <c r="Q332" i="1"/>
  <c r="AR325" i="1"/>
  <c r="AR326" i="1" s="1"/>
  <c r="AD319" i="1"/>
  <c r="AG319" i="1" s="1"/>
  <c r="AF319" i="1"/>
  <c r="AM317" i="1"/>
  <c r="AP317" i="1" s="1"/>
  <c r="AT317" i="1"/>
  <c r="AO317" i="1"/>
  <c r="AL316" i="1"/>
  <c r="O317" i="1"/>
  <c r="P317" i="1"/>
  <c r="N317" i="1" s="1"/>
  <c r="AR313" i="1"/>
  <c r="AR314" i="1" s="1"/>
  <c r="AM313" i="1"/>
  <c r="AP313" i="1" s="1"/>
  <c r="AT313" i="1"/>
  <c r="AO313" i="1"/>
  <c r="O313" i="1"/>
  <c r="Q314" i="1"/>
  <c r="P313" i="1"/>
  <c r="N313" i="1" s="1"/>
  <c r="AM311" i="1"/>
  <c r="AT311" i="1"/>
  <c r="AL310" i="1"/>
  <c r="AO311" i="1"/>
  <c r="O311" i="1"/>
  <c r="P311" i="1"/>
  <c r="N311" i="1" s="1"/>
  <c r="AR306" i="1"/>
  <c r="AM304" i="1"/>
  <c r="AP304" i="1" s="1"/>
  <c r="AT304" i="1"/>
  <c r="AO304" i="1"/>
  <c r="AW295" i="1"/>
  <c r="AV296" i="1"/>
  <c r="AW296" i="1" s="1"/>
  <c r="AR292" i="1"/>
  <c r="AL289" i="1"/>
  <c r="AR289" i="1" s="1"/>
  <c r="AM290" i="1"/>
  <c r="AS290" i="1"/>
  <c r="AS289" i="1" s="1"/>
  <c r="AM280" i="1"/>
  <c r="AP280" i="1" s="1"/>
  <c r="AP281" i="1" s="1"/>
  <c r="AO280" i="1"/>
  <c r="AO281" i="1" s="1"/>
  <c r="AV280" i="1"/>
  <c r="AM274" i="1"/>
  <c r="AP274" i="1" s="1"/>
  <c r="AP275" i="1" s="1"/>
  <c r="AO274" i="1"/>
  <c r="AO275" i="1" s="1"/>
  <c r="AV274" i="1"/>
  <c r="AD273" i="1"/>
  <c r="AG273" i="1" s="1"/>
  <c r="AF273" i="1"/>
  <c r="AM265" i="1"/>
  <c r="AP265" i="1" s="1"/>
  <c r="AP266" i="1" s="1"/>
  <c r="AT265" i="1"/>
  <c r="AO265" i="1"/>
  <c r="AO266" i="1" s="1"/>
  <c r="AV265" i="1"/>
  <c r="AD260" i="1"/>
  <c r="AG260" i="1" s="1"/>
  <c r="AC259" i="1"/>
  <c r="AF260" i="1"/>
  <c r="AW259" i="1"/>
  <c r="AV260" i="1"/>
  <c r="AW260" i="1" s="1"/>
  <c r="AC253" i="1"/>
  <c r="AD254" i="1"/>
  <c r="AG254" i="1" s="1"/>
  <c r="AF254" i="1"/>
  <c r="AW253" i="1"/>
  <c r="AV254" i="1"/>
  <c r="AW254" i="1" s="1"/>
  <c r="O250" i="1"/>
  <c r="O236" i="1" s="1"/>
  <c r="P250" i="1"/>
  <c r="N250" i="1" s="1"/>
  <c r="Q251" i="1"/>
  <c r="AS247" i="1"/>
  <c r="AO247" i="1"/>
  <c r="AO248" i="1" s="1"/>
  <c r="AV247" i="1"/>
  <c r="AE235" i="1"/>
  <c r="AE119" i="1" s="1"/>
  <c r="AH246" i="1"/>
  <c r="AH235" i="1" s="1"/>
  <c r="AM242" i="1"/>
  <c r="AT242" i="1"/>
  <c r="AL236" i="1"/>
  <c r="AO221" i="1"/>
  <c r="E216" i="1"/>
  <c r="F218" i="1"/>
  <c r="F216" i="1" s="1"/>
  <c r="AV224" i="1"/>
  <c r="AV213" i="1"/>
  <c r="AM213" i="1"/>
  <c r="AW213" i="1" s="1"/>
  <c r="AT213" i="1"/>
  <c r="AL214" i="1"/>
  <c r="AT193" i="1"/>
  <c r="AM193" i="1"/>
  <c r="AQ194" i="1"/>
  <c r="AO194" i="1"/>
  <c r="AP194" i="1" s="1"/>
  <c r="AY180" i="1"/>
  <c r="AV178" i="1"/>
  <c r="N178" i="1"/>
  <c r="AM329" i="1"/>
  <c r="AP329" i="1" s="1"/>
  <c r="AT314" i="1"/>
  <c r="AM314" i="1"/>
  <c r="AP314" i="1" s="1"/>
  <c r="O309" i="1"/>
  <c r="O235" i="1" s="1"/>
  <c r="AM306" i="1"/>
  <c r="Q302" i="1"/>
  <c r="AT301" i="1"/>
  <c r="AR300" i="1"/>
  <c r="Q299" i="1"/>
  <c r="AV297" i="1"/>
  <c r="AO297" i="1"/>
  <c r="AJ297" i="1"/>
  <c r="AP321" i="1" s="1"/>
  <c r="Q296" i="1"/>
  <c r="AD288" i="1"/>
  <c r="AG288" i="1" s="1"/>
  <c r="AS284" i="1"/>
  <c r="AS283" i="1" s="1"/>
  <c r="AM284" i="1"/>
  <c r="AD275" i="1"/>
  <c r="AG275" i="1" s="1"/>
  <c r="Q272" i="1"/>
  <c r="AT271" i="1"/>
  <c r="AV268" i="1"/>
  <c r="AF263" i="1"/>
  <c r="Q260" i="1"/>
  <c r="AT259" i="1"/>
  <c r="AV256" i="1"/>
  <c r="AT253" i="1"/>
  <c r="AD246" i="1"/>
  <c r="Q242" i="1"/>
  <c r="AP241" i="1"/>
  <c r="AP242" i="1" s="1"/>
  <c r="AW238" i="1"/>
  <c r="AO238" i="1"/>
  <c r="AW237" i="1"/>
  <c r="AC235" i="1"/>
  <c r="AC119" i="1" s="1"/>
  <c r="AT234" i="1"/>
  <c r="O232" i="1"/>
  <c r="Q225" i="1"/>
  <c r="AN215" i="1"/>
  <c r="AN119" i="1" s="1"/>
  <c r="AI215" i="1"/>
  <c r="AR215" i="1" s="1"/>
  <c r="AJ217" i="1"/>
  <c r="AJ215" i="1" s="1"/>
  <c r="AO220" i="1"/>
  <c r="AP220" i="1" s="1"/>
  <c r="AZ220" i="1"/>
  <c r="BF217" i="1"/>
  <c r="BF215" i="1" s="1"/>
  <c r="AY223" i="1"/>
  <c r="AO229" i="1"/>
  <c r="AP229" i="1" s="1"/>
  <c r="AV216" i="1"/>
  <c r="N198" i="1"/>
  <c r="N197" i="1"/>
  <c r="N192" i="1" s="1"/>
  <c r="AV197" i="1"/>
  <c r="AW197" i="1" s="1"/>
  <c r="AW192" i="1" s="1"/>
  <c r="AI195" i="1"/>
  <c r="AO213" i="1" s="1"/>
  <c r="AM192" i="1"/>
  <c r="AP192" i="1" s="1"/>
  <c r="AY197" i="1"/>
  <c r="AY192" i="1" s="1"/>
  <c r="O190" i="1"/>
  <c r="P190" i="1"/>
  <c r="N190" i="1" s="1"/>
  <c r="AT175" i="1"/>
  <c r="AM175" i="1"/>
  <c r="AO175" i="1"/>
  <c r="AO176" i="1" s="1"/>
  <c r="AY177" i="1"/>
  <c r="AY172" i="1" s="1"/>
  <c r="Z120" i="1"/>
  <c r="Z121" i="1" s="1"/>
  <c r="AN172" i="1"/>
  <c r="AB119" i="1"/>
  <c r="P161" i="1"/>
  <c r="N161" i="1" s="1"/>
  <c r="Q162" i="1"/>
  <c r="O161" i="1"/>
  <c r="O147" i="1" s="1"/>
  <c r="O159" i="1"/>
  <c r="P159" i="1"/>
  <c r="N159" i="1" s="1"/>
  <c r="O128" i="1"/>
  <c r="P128" i="1"/>
  <c r="N128" i="1" s="1"/>
  <c r="Q129" i="1"/>
  <c r="AN235" i="1"/>
  <c r="Q233" i="1"/>
  <c r="J216" i="1"/>
  <c r="J219" i="1"/>
  <c r="AX223" i="1"/>
  <c r="AX215" i="1" s="1"/>
  <c r="N217" i="1"/>
  <c r="N215" i="1" s="1"/>
  <c r="AV217" i="1"/>
  <c r="P215" i="1"/>
  <c r="AO212" i="1"/>
  <c r="AP212" i="1" s="1"/>
  <c r="AM211" i="1"/>
  <c r="AW211" i="1" s="1"/>
  <c r="AV210" i="1"/>
  <c r="AO206" i="1"/>
  <c r="AP206" i="1" s="1"/>
  <c r="AW201" i="1"/>
  <c r="AV202" i="1"/>
  <c r="AW202" i="1" s="1"/>
  <c r="AO198" i="1"/>
  <c r="O196" i="1"/>
  <c r="P196" i="1"/>
  <c r="N196" i="1" s="1"/>
  <c r="O195" i="1"/>
  <c r="O193" i="1" s="1"/>
  <c r="P195" i="1"/>
  <c r="AV203" i="1"/>
  <c r="AW203" i="1" s="1"/>
  <c r="F192" i="1"/>
  <c r="E193" i="1"/>
  <c r="O191" i="1"/>
  <c r="P191" i="1"/>
  <c r="N191" i="1" s="1"/>
  <c r="AO180" i="1"/>
  <c r="AX189" i="1"/>
  <c r="AX172" i="1" s="1"/>
  <c r="AI175" i="1"/>
  <c r="AM172" i="1"/>
  <c r="AP172" i="1" s="1"/>
  <c r="P172" i="1"/>
  <c r="AU120" i="1"/>
  <c r="AU121" i="1" s="1"/>
  <c r="AW140" i="1"/>
  <c r="AW138" i="1" s="1"/>
  <c r="AV138" i="1"/>
  <c r="AP143" i="1"/>
  <c r="AJ138" i="1"/>
  <c r="AP129" i="1"/>
  <c r="AN120" i="1"/>
  <c r="AN121" i="1" s="1"/>
  <c r="AQ123" i="1"/>
  <c r="AQ120" i="1" s="1"/>
  <c r="AQ121" i="1" s="1"/>
  <c r="Q108" i="1"/>
  <c r="N108" i="1"/>
  <c r="O108" i="1" s="1"/>
  <c r="P109" i="1"/>
  <c r="AZ303" i="1"/>
  <c r="AV303" i="1" s="1"/>
  <c r="AR303" i="1"/>
  <c r="Q275" i="1"/>
  <c r="Q248" i="1"/>
  <c r="AT238" i="1"/>
  <c r="AL216" i="1"/>
  <c r="AO216" i="1" s="1"/>
  <c r="AQ215" i="1"/>
  <c r="AZ217" i="1"/>
  <c r="AO217" i="1"/>
  <c r="AP217" i="1" s="1"/>
  <c r="O215" i="1"/>
  <c r="O202" i="1"/>
  <c r="P202" i="1"/>
  <c r="N202" i="1" s="1"/>
  <c r="AV199" i="1"/>
  <c r="AW199" i="1" s="1"/>
  <c r="AW198" i="1"/>
  <c r="AK192" i="1"/>
  <c r="AZ200" i="1"/>
  <c r="AO203" i="1"/>
  <c r="AP203" i="1" s="1"/>
  <c r="AZ203" i="1"/>
  <c r="AY206" i="1"/>
  <c r="AY209" i="1"/>
  <c r="AY212" i="1"/>
  <c r="AZ194" i="1"/>
  <c r="AO197" i="1"/>
  <c r="AP197" i="1" s="1"/>
  <c r="AZ197" i="1"/>
  <c r="AZ206" i="1"/>
  <c r="AZ209" i="1"/>
  <c r="AZ212" i="1"/>
  <c r="O192" i="1"/>
  <c r="Q193" i="1"/>
  <c r="AV192" i="1"/>
  <c r="AM184" i="1"/>
  <c r="AT184" i="1"/>
  <c r="AO184" i="1"/>
  <c r="AO178" i="1"/>
  <c r="AO179" i="1" s="1"/>
  <c r="O173" i="1"/>
  <c r="F175" i="1"/>
  <c r="F173" i="1" s="1"/>
  <c r="AV190" i="1"/>
  <c r="AQ172" i="1"/>
  <c r="AL173" i="1"/>
  <c r="E173" i="1"/>
  <c r="AT147" i="1"/>
  <c r="P146" i="1"/>
  <c r="AN130" i="1"/>
  <c r="AQ130" i="1" s="1"/>
  <c r="AQ132" i="1"/>
  <c r="Q123" i="1"/>
  <c r="O125" i="1"/>
  <c r="Q126" i="1"/>
  <c r="P125" i="1"/>
  <c r="BE120" i="1"/>
  <c r="BE121" i="1" s="1"/>
  <c r="BA120" i="1"/>
  <c r="BA121" i="1" s="1"/>
  <c r="AS119" i="1"/>
  <c r="AI192" i="1"/>
  <c r="AR192" i="1" s="1"/>
  <c r="AZ183" i="1"/>
  <c r="AO183" i="1"/>
  <c r="AP183" i="1" s="1"/>
  <c r="AT182" i="1"/>
  <c r="AT181" i="1"/>
  <c r="AM180" i="1"/>
  <c r="AV175" i="1"/>
  <c r="J175" i="1"/>
  <c r="BL174" i="1"/>
  <c r="BL172" i="1" s="1"/>
  <c r="AJ174" i="1"/>
  <c r="AJ172" i="1" s="1"/>
  <c r="N174" i="1"/>
  <c r="N172" i="1" s="1"/>
  <c r="Q173" i="1"/>
  <c r="AI172" i="1"/>
  <c r="AA119" i="1"/>
  <c r="AT171" i="1"/>
  <c r="AM168" i="1"/>
  <c r="AP168" i="1" s="1"/>
  <c r="AT168" i="1"/>
  <c r="AM162" i="1"/>
  <c r="AP162" i="1" s="1"/>
  <c r="N151" i="1"/>
  <c r="N146" i="1" s="1"/>
  <c r="AV151" i="1"/>
  <c r="AV157" i="1" s="1"/>
  <c r="AW157" i="1" s="1"/>
  <c r="AO149" i="1"/>
  <c r="AL147" i="1"/>
  <c r="AO147" i="1" s="1"/>
  <c r="AO145" i="1"/>
  <c r="AP141" i="1"/>
  <c r="AO142" i="1"/>
  <c r="AP142" i="1" s="1"/>
  <c r="AN138" i="1"/>
  <c r="AQ138" i="1" s="1"/>
  <c r="AQ140" i="1"/>
  <c r="AR138" i="1"/>
  <c r="AL133" i="1"/>
  <c r="AM134" i="1"/>
  <c r="AM133" i="1" s="1"/>
  <c r="AM131" i="1" s="1"/>
  <c r="AP131" i="1" s="1"/>
  <c r="P131" i="1"/>
  <c r="E133" i="1"/>
  <c r="AT129" i="1"/>
  <c r="AO129" i="1"/>
  <c r="AV129" i="1"/>
  <c r="AW129" i="1" s="1"/>
  <c r="AP127" i="1"/>
  <c r="AP122" i="1"/>
  <c r="F119" i="1"/>
  <c r="BL120" i="1"/>
  <c r="BL121" i="1" s="1"/>
  <c r="BH120" i="1"/>
  <c r="BH121" i="1" s="1"/>
  <c r="BD120" i="1"/>
  <c r="BD121" i="1" s="1"/>
  <c r="AZ120" i="1"/>
  <c r="AZ121" i="1" s="1"/>
  <c r="AZ15" i="1" s="1"/>
  <c r="AK120" i="1"/>
  <c r="AK121" i="1" s="1"/>
  <c r="I120" i="1"/>
  <c r="I121" i="1" s="1"/>
  <c r="BO119" i="1"/>
  <c r="BE119" i="1"/>
  <c r="BE13" i="1" s="1"/>
  <c r="BE9" i="1" s="1"/>
  <c r="BA119" i="1"/>
  <c r="AJ116" i="1"/>
  <c r="AR116" i="1"/>
  <c r="AO116" i="1"/>
  <c r="BC116" i="1" s="1"/>
  <c r="BC103" i="1" s="1"/>
  <c r="AS16" i="1"/>
  <c r="AS12" i="1" s="1"/>
  <c r="AS104" i="1"/>
  <c r="O53" i="1"/>
  <c r="Q53" i="1" s="1"/>
  <c r="Q52" i="1"/>
  <c r="N47" i="1"/>
  <c r="P47" i="1" s="1"/>
  <c r="P46" i="1"/>
  <c r="AL225" i="1"/>
  <c r="AT225" i="1" s="1"/>
  <c r="AT224" i="1"/>
  <c r="AT216" i="1" s="1"/>
  <c r="AM218" i="1"/>
  <c r="AM216" i="1" s="1"/>
  <c r="AP216" i="1" s="1"/>
  <c r="AL172" i="1"/>
  <c r="AO172" i="1" s="1"/>
  <c r="AH119" i="1"/>
  <c r="Z119" i="1"/>
  <c r="AM165" i="1"/>
  <c r="AP165" i="1" s="1"/>
  <c r="AT165" i="1"/>
  <c r="AM164" i="1"/>
  <c r="AP164" i="1" s="1"/>
  <c r="AT164" i="1"/>
  <c r="AQ160" i="1"/>
  <c r="AO161" i="1"/>
  <c r="AO157" i="1"/>
  <c r="AP157" i="1"/>
  <c r="AQ157" i="1"/>
  <c r="AO158" i="1"/>
  <c r="AO159" i="1"/>
  <c r="AV149" i="1"/>
  <c r="N149" i="1"/>
  <c r="BL148" i="1"/>
  <c r="BL146" i="1" s="1"/>
  <c r="AQ146" i="1"/>
  <c r="O145" i="1"/>
  <c r="P145" i="1"/>
  <c r="N145" i="1" s="1"/>
  <c r="E139" i="1"/>
  <c r="AV141" i="1"/>
  <c r="AO137" i="1"/>
  <c r="AP136" i="1"/>
  <c r="AP137" i="1" s="1"/>
  <c r="E125" i="1"/>
  <c r="F126" i="1"/>
  <c r="F125" i="1" s="1"/>
  <c r="F123" i="1" s="1"/>
  <c r="F120" i="1" s="1"/>
  <c r="F121" i="1" s="1"/>
  <c r="AJ119" i="1"/>
  <c r="N124" i="1"/>
  <c r="N122" i="1" s="1"/>
  <c r="P122" i="1"/>
  <c r="P119" i="1" s="1"/>
  <c r="BG120" i="1"/>
  <c r="BG121" i="1" s="1"/>
  <c r="Q119" i="1"/>
  <c r="E119" i="1"/>
  <c r="AO78" i="1"/>
  <c r="AM78" i="1"/>
  <c r="AP78" i="1" s="1"/>
  <c r="AO200" i="1"/>
  <c r="AP200" i="1" s="1"/>
  <c r="AZ180" i="1"/>
  <c r="AA120" i="1"/>
  <c r="AA121" i="1" s="1"/>
  <c r="AA15" i="1" s="1"/>
  <c r="Q171" i="1"/>
  <c r="AV165" i="1"/>
  <c r="AW165" i="1" s="1"/>
  <c r="AV164" i="1"/>
  <c r="AW164" i="1" s="1"/>
  <c r="AM160" i="1"/>
  <c r="AP160" i="1" s="1"/>
  <c r="AO160" i="1"/>
  <c r="O158" i="1"/>
  <c r="P158" i="1"/>
  <c r="N158" i="1" s="1"/>
  <c r="AM155" i="1"/>
  <c r="AM156" i="1" s="1"/>
  <c r="AT155" i="1"/>
  <c r="AO155" i="1"/>
  <c r="AV158" i="1"/>
  <c r="AX146" i="1"/>
  <c r="AX157" i="1"/>
  <c r="AM148" i="1"/>
  <c r="AM146" i="1" s="1"/>
  <c r="AP146" i="1" s="1"/>
  <c r="AZ148" i="1"/>
  <c r="AZ146" i="1" s="1"/>
  <c r="AL146" i="1"/>
  <c r="AO146" i="1" s="1"/>
  <c r="AO148" i="1"/>
  <c r="AP148" i="1" s="1"/>
  <c r="O146" i="1"/>
  <c r="O119" i="1" s="1"/>
  <c r="BK120" i="1"/>
  <c r="BK121" i="1" s="1"/>
  <c r="AY120" i="1"/>
  <c r="AY121" i="1" s="1"/>
  <c r="AR147" i="1"/>
  <c r="AI139" i="1"/>
  <c r="AR139" i="1" s="1"/>
  <c r="AI142" i="1"/>
  <c r="AJ142" i="1" s="1"/>
  <c r="AO144" i="1"/>
  <c r="Q139" i="1"/>
  <c r="O141" i="1"/>
  <c r="O139" i="1" s="1"/>
  <c r="P141" i="1"/>
  <c r="Q142" i="1"/>
  <c r="N131" i="1"/>
  <c r="AW132" i="1"/>
  <c r="AW130" i="1" s="1"/>
  <c r="AV130" i="1"/>
  <c r="AJ132" i="1"/>
  <c r="AJ130" i="1" s="1"/>
  <c r="AP130" i="1" s="1"/>
  <c r="AO132" i="1"/>
  <c r="AP132" i="1" s="1"/>
  <c r="AI130" i="1"/>
  <c r="AZ135" i="1"/>
  <c r="AZ132" i="1"/>
  <c r="N132" i="1"/>
  <c r="N130" i="1" s="1"/>
  <c r="P130" i="1"/>
  <c r="AP128" i="1"/>
  <c r="AL125" i="1"/>
  <c r="AM126" i="1"/>
  <c r="AO126" i="1"/>
  <c r="BP120" i="1"/>
  <c r="BP121" i="1" s="1"/>
  <c r="BJ120" i="1"/>
  <c r="BJ121" i="1" s="1"/>
  <c r="BJ15" i="1" s="1"/>
  <c r="BF120" i="1"/>
  <c r="BF121" i="1" s="1"/>
  <c r="AK119" i="1"/>
  <c r="AQ122" i="1"/>
  <c r="J119" i="1"/>
  <c r="AR92" i="1"/>
  <c r="AM92" i="1"/>
  <c r="AP92" i="1" s="1"/>
  <c r="AO92" i="1"/>
  <c r="Q91" i="1"/>
  <c r="O92" i="1"/>
  <c r="Q92" i="1" s="1"/>
  <c r="AO151" i="1"/>
  <c r="AW148" i="1"/>
  <c r="Q147" i="1"/>
  <c r="AV145" i="1"/>
  <c r="AW145" i="1" s="1"/>
  <c r="AY140" i="1"/>
  <c r="AY138" i="1" s="1"/>
  <c r="AM140" i="1"/>
  <c r="AP124" i="1"/>
  <c r="BQ120" i="1"/>
  <c r="BQ121" i="1" s="1"/>
  <c r="BH119" i="1"/>
  <c r="BH13" i="1" s="1"/>
  <c r="BH9" i="1" s="1"/>
  <c r="BD119" i="1"/>
  <c r="BP105" i="1"/>
  <c r="BP117" i="1"/>
  <c r="AJ104" i="1"/>
  <c r="AP116" i="1"/>
  <c r="AJ115" i="1"/>
  <c r="AJ106" i="1" s="1"/>
  <c r="AJ16" i="1" s="1"/>
  <c r="AJ12" i="1" s="1"/>
  <c r="AI106" i="1"/>
  <c r="AR115" i="1"/>
  <c r="O106" i="1"/>
  <c r="O16" i="1" s="1"/>
  <c r="O12" i="1" s="1"/>
  <c r="N115" i="1"/>
  <c r="N106" i="1" s="1"/>
  <c r="N16" i="1" s="1"/>
  <c r="N12" i="1" s="1"/>
  <c r="AW107" i="1"/>
  <c r="AW103" i="1" s="1"/>
  <c r="AV103" i="1"/>
  <c r="AT104" i="1"/>
  <c r="AP101" i="1"/>
  <c r="AW101" i="1"/>
  <c r="P99" i="1"/>
  <c r="N100" i="1"/>
  <c r="Q96" i="1"/>
  <c r="N96" i="1"/>
  <c r="AM94" i="1"/>
  <c r="AP94" i="1" s="1"/>
  <c r="AT94" i="1"/>
  <c r="AT95" i="1" s="1"/>
  <c r="AO94" i="1"/>
  <c r="AL95" i="1"/>
  <c r="P88" i="1"/>
  <c r="N89" i="1"/>
  <c r="P89" i="1" s="1"/>
  <c r="Q131" i="1"/>
  <c r="BB120" i="1"/>
  <c r="BB121" i="1" s="1"/>
  <c r="AX120" i="1"/>
  <c r="AX121" i="1" s="1"/>
  <c r="BQ119" i="1"/>
  <c r="BQ13" i="1" s="1"/>
  <c r="BQ9" i="1" s="1"/>
  <c r="BK119" i="1"/>
  <c r="BG119" i="1"/>
  <c r="BC119" i="1"/>
  <c r="AY119" i="1"/>
  <c r="AU119" i="1"/>
  <c r="H119" i="1"/>
  <c r="AM117" i="1"/>
  <c r="AP117" i="1" s="1"/>
  <c r="AR117" i="1"/>
  <c r="AO117" i="1"/>
  <c r="AU117" i="1"/>
  <c r="AU118" i="1" s="1"/>
  <c r="AU105" i="1" s="1"/>
  <c r="AL118" i="1"/>
  <c r="BL116" i="1"/>
  <c r="AI103" i="1"/>
  <c r="AR103" i="1" s="1"/>
  <c r="Q110" i="1"/>
  <c r="P111" i="1"/>
  <c r="AH105" i="1"/>
  <c r="AH104" i="1" s="1"/>
  <c r="J109" i="1"/>
  <c r="J105" i="1" s="1"/>
  <c r="J104" i="1" s="1"/>
  <c r="I105" i="1"/>
  <c r="I104" i="1" s="1"/>
  <c r="X108" i="1"/>
  <c r="AG108" i="1" s="1"/>
  <c r="AF108" i="1"/>
  <c r="AQ103" i="1"/>
  <c r="Q107" i="1"/>
  <c r="Q103" i="1" s="1"/>
  <c r="N107" i="1"/>
  <c r="L104" i="1"/>
  <c r="AK103" i="1"/>
  <c r="AR98" i="1"/>
  <c r="AM98" i="1"/>
  <c r="AP98" i="1" s="1"/>
  <c r="AO98" i="1"/>
  <c r="Q97" i="1"/>
  <c r="O98" i="1"/>
  <c r="Q98" i="1" s="1"/>
  <c r="N94" i="1"/>
  <c r="P93" i="1"/>
  <c r="AM90" i="1"/>
  <c r="AP90" i="1" s="1"/>
  <c r="AV90" i="1"/>
  <c r="AO90" i="1"/>
  <c r="O82" i="1"/>
  <c r="Q81" i="1"/>
  <c r="N81" i="1"/>
  <c r="AS13" i="1"/>
  <c r="AS9" i="1" s="1"/>
  <c r="Q150" i="1"/>
  <c r="BP119" i="1"/>
  <c r="BJ119" i="1"/>
  <c r="BJ13" i="1" s="1"/>
  <c r="BJ9" i="1" s="1"/>
  <c r="BF119" i="1"/>
  <c r="BB119" i="1"/>
  <c r="AT119" i="1"/>
  <c r="AT13" i="1" s="1"/>
  <c r="AT9" i="1" s="1"/>
  <c r="AL119" i="1"/>
  <c r="S119" i="1"/>
  <c r="AU114" i="1"/>
  <c r="AU115" i="1" s="1"/>
  <c r="AU106" i="1" s="1"/>
  <c r="AU16" i="1" s="1"/>
  <c r="AU12" i="1" s="1"/>
  <c r="BL103" i="1"/>
  <c r="W109" i="1"/>
  <c r="F105" i="1"/>
  <c r="F104" i="1" s="1"/>
  <c r="BK104" i="1"/>
  <c r="BG104" i="1"/>
  <c r="BC104" i="1"/>
  <c r="AY104" i="1"/>
  <c r="P103" i="1"/>
  <c r="AP100" i="1"/>
  <c r="N70" i="1"/>
  <c r="P69" i="1"/>
  <c r="AL69" i="1" s="1"/>
  <c r="AM51" i="1"/>
  <c r="AP51" i="1" s="1"/>
  <c r="AO51" i="1"/>
  <c r="AV117" i="1"/>
  <c r="AV115" i="1"/>
  <c r="AM115" i="1"/>
  <c r="AC115" i="1"/>
  <c r="AR113" i="1"/>
  <c r="AJ113" i="1"/>
  <c r="AP113" i="1" s="1"/>
  <c r="U109" i="1"/>
  <c r="U105" i="1" s="1"/>
  <c r="U104" i="1" s="1"/>
  <c r="AR107" i="1"/>
  <c r="AM107" i="1"/>
  <c r="AC107" i="1"/>
  <c r="F107" i="1"/>
  <c r="F103" i="1" s="1"/>
  <c r="AT97" i="1"/>
  <c r="AT98" i="1" s="1"/>
  <c r="AM97" i="1"/>
  <c r="AP97" i="1" s="1"/>
  <c r="AT91" i="1"/>
  <c r="AT92" i="1" s="1"/>
  <c r="AM91" i="1"/>
  <c r="AP91" i="1" s="1"/>
  <c r="N91" i="1"/>
  <c r="AT89" i="1"/>
  <c r="AT26" i="1" s="1"/>
  <c r="AW87" i="1"/>
  <c r="AW85" i="1"/>
  <c r="N85" i="1"/>
  <c r="AW79" i="1"/>
  <c r="AV80" i="1"/>
  <c r="AW80" i="1" s="1"/>
  <c r="AP74" i="1"/>
  <c r="O68" i="1"/>
  <c r="Q68" i="1" s="1"/>
  <c r="Q67" i="1"/>
  <c r="AM66" i="1"/>
  <c r="AP66" i="1" s="1"/>
  <c r="AO66" i="1"/>
  <c r="AM45" i="1"/>
  <c r="AP45" i="1" s="1"/>
  <c r="AO45" i="1"/>
  <c r="AO44" i="1"/>
  <c r="E26" i="1"/>
  <c r="AF25" i="1"/>
  <c r="AW27" i="1"/>
  <c r="AJ24" i="1"/>
  <c r="E24" i="1"/>
  <c r="AA13" i="1"/>
  <c r="AA9" i="1" s="1"/>
  <c r="O76" i="1"/>
  <c r="Q75" i="1"/>
  <c r="N75" i="1"/>
  <c r="AW73" i="1"/>
  <c r="AV74" i="1"/>
  <c r="AW74" i="1" s="1"/>
  <c r="N73" i="1"/>
  <c r="P72" i="1"/>
  <c r="AL72" i="1" s="1"/>
  <c r="O57" i="1"/>
  <c r="Q60" i="1"/>
  <c r="O61" i="1"/>
  <c r="N60" i="1"/>
  <c r="N55" i="1"/>
  <c r="P54" i="1"/>
  <c r="AL54" i="1" s="1"/>
  <c r="O49" i="1"/>
  <c r="Q48" i="1"/>
  <c r="N48" i="1"/>
  <c r="AL25" i="1"/>
  <c r="AM43" i="1"/>
  <c r="AP43" i="1" s="1"/>
  <c r="AO43" i="1"/>
  <c r="AO25" i="1" s="1"/>
  <c r="N41" i="1"/>
  <c r="P41" i="1" s="1"/>
  <c r="P40" i="1"/>
  <c r="P115" i="1"/>
  <c r="P106" i="1" s="1"/>
  <c r="P16" i="1" s="1"/>
  <c r="P12" i="1" s="1"/>
  <c r="BO13" i="1"/>
  <c r="BO9" i="1" s="1"/>
  <c r="O64" i="1"/>
  <c r="Q63" i="1"/>
  <c r="N63" i="1"/>
  <c r="AW61" i="1"/>
  <c r="AV62" i="1"/>
  <c r="AW62" i="1" s="1"/>
  <c r="N53" i="1"/>
  <c r="P53" i="1" s="1"/>
  <c r="AP47" i="1"/>
  <c r="I26" i="1"/>
  <c r="J25" i="1"/>
  <c r="N22" i="1"/>
  <c r="P21" i="1"/>
  <c r="P18" i="1" s="1"/>
  <c r="N18" i="1"/>
  <c r="BQ15" i="1"/>
  <c r="BL15" i="1"/>
  <c r="BH15" i="1"/>
  <c r="BD15" i="1"/>
  <c r="X13" i="1"/>
  <c r="X9" i="1" s="1"/>
  <c r="T13" i="1"/>
  <c r="T9" i="1" s="1"/>
  <c r="O70" i="1"/>
  <c r="AV68" i="1"/>
  <c r="AW68" i="1" s="1"/>
  <c r="O55" i="1"/>
  <c r="AV53" i="1"/>
  <c r="AW53" i="1" s="1"/>
  <c r="AI44" i="1"/>
  <c r="AG26" i="1"/>
  <c r="J26" i="1"/>
  <c r="F25" i="1"/>
  <c r="AG24" i="1"/>
  <c r="AJ25" i="1"/>
  <c r="Q22" i="1"/>
  <c r="Q19" i="1" s="1"/>
  <c r="AW18" i="1"/>
  <c r="AJ18" i="1"/>
  <c r="AP21" i="1"/>
  <c r="AP18" i="1" s="1"/>
  <c r="P20" i="1"/>
  <c r="P17" i="1" s="1"/>
  <c r="N17" i="1"/>
  <c r="BF13" i="1"/>
  <c r="BF9" i="1" s="1"/>
  <c r="BB13" i="1"/>
  <c r="BB9" i="1" s="1"/>
  <c r="I13" i="1"/>
  <c r="I9" i="1" s="1"/>
  <c r="AI25" i="1"/>
  <c r="AR25" i="1" s="1"/>
  <c r="O42" i="1"/>
  <c r="AW34" i="1"/>
  <c r="AV35" i="1"/>
  <c r="AW35" i="1" s="1"/>
  <c r="AF26" i="1"/>
  <c r="E25" i="1"/>
  <c r="AF24" i="1"/>
  <c r="J24" i="1"/>
  <c r="J13" i="1" s="1"/>
  <c r="J9" i="1" s="1"/>
  <c r="AW23" i="1"/>
  <c r="AW19" i="1" s="1"/>
  <c r="AV18" i="1"/>
  <c r="AM17" i="1"/>
  <c r="AP20" i="1"/>
  <c r="AP17" i="1" s="1"/>
  <c r="BO15" i="1"/>
  <c r="BF15" i="1"/>
  <c r="AU13" i="1"/>
  <c r="AU9" i="1" s="1"/>
  <c r="AL26" i="1"/>
  <c r="N35" i="1"/>
  <c r="P35" i="1" s="1"/>
  <c r="P34" i="1"/>
  <c r="N32" i="1"/>
  <c r="P32" i="1" s="1"/>
  <c r="P31" i="1"/>
  <c r="Q29" i="1"/>
  <c r="F26" i="1"/>
  <c r="AG25" i="1"/>
  <c r="AP27" i="1"/>
  <c r="F24" i="1"/>
  <c r="AV19" i="1"/>
  <c r="F15" i="1"/>
  <c r="E13" i="1"/>
  <c r="E9" i="1" s="1"/>
  <c r="T15" i="1"/>
  <c r="I15" i="1"/>
  <c r="BD13" i="1"/>
  <c r="BD9" i="1" s="1"/>
  <c r="BW17" i="1"/>
  <c r="BX17" i="1" s="1"/>
  <c r="U13" i="1"/>
  <c r="U9" i="1" s="1"/>
  <c r="P33" i="1"/>
  <c r="BK15" i="1"/>
  <c r="BG15" i="1"/>
  <c r="BC15" i="1"/>
  <c r="AY15" i="1"/>
  <c r="AS18" i="1"/>
  <c r="E18" i="1"/>
  <c r="BP13" i="1"/>
  <c r="BP9" i="1" s="1"/>
  <c r="BK13" i="1"/>
  <c r="BK9" i="1" s="1"/>
  <c r="BG13" i="1"/>
  <c r="BG9" i="1" s="1"/>
  <c r="W13" i="1"/>
  <c r="W9" i="1" s="1"/>
  <c r="F20" i="1"/>
  <c r="F17" i="1" s="1"/>
  <c r="BB15" i="1"/>
  <c r="Z15" i="1"/>
  <c r="Z13" i="1"/>
  <c r="Z9" i="1" s="1"/>
  <c r="BN15" i="1"/>
  <c r="BI15" i="1"/>
  <c r="BE15" i="1"/>
  <c r="BA15" i="1"/>
  <c r="U15" i="1"/>
  <c r="BN13" i="1"/>
  <c r="BN9" i="1" s="1"/>
  <c r="BI13" i="1"/>
  <c r="BI9" i="1" s="1"/>
  <c r="BA13" i="1"/>
  <c r="BA9" i="1" s="1"/>
  <c r="AZ11" i="1" l="1"/>
  <c r="AZ10" i="1" s="1"/>
  <c r="AZ14" i="1"/>
  <c r="AO214" i="1"/>
  <c r="AP213" i="1"/>
  <c r="AP214" i="1" s="1"/>
  <c r="O216" i="1"/>
  <c r="BW103" i="1"/>
  <c r="BC13" i="1"/>
  <c r="BC9" i="1" s="1"/>
  <c r="BJ14" i="1"/>
  <c r="BJ11" i="1"/>
  <c r="BJ10" i="1" s="1"/>
  <c r="AA14" i="1"/>
  <c r="AA11" i="1"/>
  <c r="AA10" i="1" s="1"/>
  <c r="AX119" i="1"/>
  <c r="Q57" i="1"/>
  <c r="O58" i="1"/>
  <c r="N57" i="1"/>
  <c r="AP107" i="1"/>
  <c r="AP103" i="1" s="1"/>
  <c r="AM103" i="1"/>
  <c r="AM69" i="1"/>
  <c r="AP69" i="1" s="1"/>
  <c r="AO69" i="1"/>
  <c r="P112" i="1"/>
  <c r="Q112" i="1" s="1"/>
  <c r="Q111" i="1"/>
  <c r="AO118" i="1"/>
  <c r="AO105" i="1" s="1"/>
  <c r="AL105" i="1"/>
  <c r="AR118" i="1"/>
  <c r="AM118" i="1"/>
  <c r="N101" i="1"/>
  <c r="P101" i="1" s="1"/>
  <c r="P100" i="1"/>
  <c r="AZ192" i="1"/>
  <c r="AO199" i="1"/>
  <c r="AP198" i="1"/>
  <c r="AP199" i="1" s="1"/>
  <c r="P233" i="1"/>
  <c r="Q234" i="1"/>
  <c r="O233" i="1"/>
  <c r="AO239" i="1"/>
  <c r="O260" i="1"/>
  <c r="P260" i="1"/>
  <c r="N260" i="1" s="1"/>
  <c r="AV208" i="1"/>
  <c r="AW208" i="1" s="1"/>
  <c r="AT208" i="1"/>
  <c r="AM208" i="1"/>
  <c r="AZ235" i="1"/>
  <c r="BW235" i="1" s="1"/>
  <c r="BW297" i="1"/>
  <c r="BX297" i="1" s="1"/>
  <c r="AW300" i="1"/>
  <c r="AV301" i="1"/>
  <c r="N354" i="1"/>
  <c r="O354" i="1" s="1"/>
  <c r="Q354" i="1"/>
  <c r="AV354" i="1"/>
  <c r="AW354" i="1" s="1"/>
  <c r="AO228" i="1"/>
  <c r="AP227" i="1"/>
  <c r="AP228" i="1" s="1"/>
  <c r="AD271" i="1"/>
  <c r="AG271" i="1" s="1"/>
  <c r="AF271" i="1"/>
  <c r="O338" i="1"/>
  <c r="P338" i="1"/>
  <c r="N338" i="1" s="1"/>
  <c r="U14" i="1"/>
  <c r="U11" i="1"/>
  <c r="U10" i="1" s="1"/>
  <c r="BA14" i="1"/>
  <c r="BA11" i="1"/>
  <c r="BA10" i="1" s="1"/>
  <c r="F13" i="1"/>
  <c r="F9" i="1" s="1"/>
  <c r="BK11" i="1"/>
  <c r="BK10" i="1" s="1"/>
  <c r="BK14" i="1"/>
  <c r="T14" i="1"/>
  <c r="T11" i="1"/>
  <c r="T10" i="1" s="1"/>
  <c r="BF14" i="1"/>
  <c r="BF11" i="1"/>
  <c r="BF10" i="1" s="1"/>
  <c r="O24" i="1"/>
  <c r="N42" i="1"/>
  <c r="O43" i="1"/>
  <c r="Q42" i="1"/>
  <c r="AM25" i="1"/>
  <c r="AI26" i="1"/>
  <c r="AR26" i="1" s="1"/>
  <c r="AR44" i="1"/>
  <c r="AJ44" i="1"/>
  <c r="Q70" i="1"/>
  <c r="O71" i="1"/>
  <c r="Q71" i="1" s="1"/>
  <c r="BL11" i="1"/>
  <c r="BL10" i="1" s="1"/>
  <c r="BL14" i="1"/>
  <c r="O65" i="1"/>
  <c r="Q65" i="1" s="1"/>
  <c r="Q64" i="1"/>
  <c r="AP25" i="1"/>
  <c r="P60" i="1"/>
  <c r="AL60" i="1" s="1"/>
  <c r="N61" i="1"/>
  <c r="AO72" i="1"/>
  <c r="AM72" i="1"/>
  <c r="AP72" i="1" s="1"/>
  <c r="P75" i="1"/>
  <c r="AL75" i="1" s="1"/>
  <c r="N76" i="1"/>
  <c r="P85" i="1"/>
  <c r="N86" i="1"/>
  <c r="P86" i="1" s="1"/>
  <c r="P91" i="1"/>
  <c r="N92" i="1"/>
  <c r="P92" i="1" s="1"/>
  <c r="AC106" i="1"/>
  <c r="AF115" i="1"/>
  <c r="AF106" i="1" s="1"/>
  <c r="AF16" i="1" s="1"/>
  <c r="AF12" i="1" s="1"/>
  <c r="AD115" i="1"/>
  <c r="N71" i="1"/>
  <c r="P71" i="1" s="1"/>
  <c r="P70" i="1"/>
  <c r="P81" i="1"/>
  <c r="AL81" i="1" s="1"/>
  <c r="N82" i="1"/>
  <c r="AW90" i="1"/>
  <c r="AV91" i="1"/>
  <c r="AU15" i="1"/>
  <c r="AU104" i="1"/>
  <c r="AJ103" i="1"/>
  <c r="AJ13" i="1" s="1"/>
  <c r="AJ9" i="1" s="1"/>
  <c r="BP15" i="1"/>
  <c r="BP104" i="1"/>
  <c r="AQ119" i="1"/>
  <c r="AT125" i="1"/>
  <c r="AT123" i="1" s="1"/>
  <c r="AL123" i="1"/>
  <c r="AO125" i="1"/>
  <c r="AZ130" i="1"/>
  <c r="O142" i="1"/>
  <c r="P142" i="1"/>
  <c r="N142" i="1" s="1"/>
  <c r="AO156" i="1"/>
  <c r="AP155" i="1"/>
  <c r="AP156" i="1" s="1"/>
  <c r="P147" i="1"/>
  <c r="AV133" i="1"/>
  <c r="E131" i="1"/>
  <c r="J173" i="1"/>
  <c r="J120" i="1" s="1"/>
  <c r="J121" i="1" s="1"/>
  <c r="J15" i="1" s="1"/>
  <c r="J176" i="1"/>
  <c r="P126" i="1"/>
  <c r="N126" i="1" s="1"/>
  <c r="O126" i="1"/>
  <c r="AO185" i="1"/>
  <c r="AP185" i="1" s="1"/>
  <c r="AP184" i="1"/>
  <c r="AV304" i="1"/>
  <c r="AW303" i="1"/>
  <c r="AJ175" i="1"/>
  <c r="AO187" i="1"/>
  <c r="AI173" i="1"/>
  <c r="AO190" i="1"/>
  <c r="AO181" i="1"/>
  <c r="AO182" i="1" s="1"/>
  <c r="AO210" i="1"/>
  <c r="P162" i="1"/>
  <c r="N162" i="1" s="1"/>
  <c r="O162" i="1"/>
  <c r="O296" i="1"/>
  <c r="P296" i="1"/>
  <c r="N296" i="1" s="1"/>
  <c r="O299" i="1"/>
  <c r="P299" i="1"/>
  <c r="N299" i="1" s="1"/>
  <c r="AP306" i="1"/>
  <c r="N173" i="1"/>
  <c r="AV214" i="1"/>
  <c r="AT214" i="1"/>
  <c r="AM214" i="1"/>
  <c r="AW214" i="1" s="1"/>
  <c r="AV248" i="1"/>
  <c r="AW248" i="1" s="1"/>
  <c r="AW247" i="1"/>
  <c r="AW265" i="1"/>
  <c r="AV266" i="1"/>
  <c r="AW266" i="1" s="1"/>
  <c r="O332" i="1"/>
  <c r="P332" i="1"/>
  <c r="N332" i="1" s="1"/>
  <c r="P348" i="1"/>
  <c r="P346" i="1" s="1"/>
  <c r="Q350" i="1"/>
  <c r="AV350" i="1"/>
  <c r="N350" i="1"/>
  <c r="AZ172" i="1"/>
  <c r="O228" i="1"/>
  <c r="P228" i="1"/>
  <c r="N228" i="1" s="1"/>
  <c r="AO215" i="1"/>
  <c r="AO119" i="1" s="1"/>
  <c r="AW283" i="1"/>
  <c r="AV284" i="1"/>
  <c r="AW284" i="1" s="1"/>
  <c r="AW319" i="1"/>
  <c r="AV320" i="1"/>
  <c r="AW320" i="1" s="1"/>
  <c r="AW322" i="1"/>
  <c r="AV323" i="1"/>
  <c r="AW323" i="1" s="1"/>
  <c r="AM235" i="1"/>
  <c r="AG248" i="1"/>
  <c r="AC248" i="1"/>
  <c r="AF248" i="1" s="1"/>
  <c r="P290" i="1"/>
  <c r="N290" i="1" s="1"/>
  <c r="O290" i="1"/>
  <c r="AW349" i="1"/>
  <c r="AW347" i="1" s="1"/>
  <c r="AW345" i="1" s="1"/>
  <c r="AW342" i="1" s="1"/>
  <c r="AV347" i="1"/>
  <c r="AV345" i="1" s="1"/>
  <c r="AV342" i="1" s="1"/>
  <c r="AO139" i="1"/>
  <c r="AO225" i="1"/>
  <c r="AP224" i="1"/>
  <c r="AP225" i="1" s="1"/>
  <c r="N236" i="1"/>
  <c r="P257" i="1"/>
  <c r="N257" i="1" s="1"/>
  <c r="O257" i="1"/>
  <c r="AW307" i="1"/>
  <c r="AV308" i="1"/>
  <c r="AW308" i="1" s="1"/>
  <c r="J343" i="1"/>
  <c r="BB14" i="1"/>
  <c r="BB11" i="1"/>
  <c r="BB10" i="1" s="1"/>
  <c r="BG11" i="1"/>
  <c r="BG10" i="1" s="1"/>
  <c r="BG14" i="1"/>
  <c r="P94" i="1"/>
  <c r="N95" i="1"/>
  <c r="P95" i="1" s="1"/>
  <c r="N103" i="1"/>
  <c r="O107" i="1"/>
  <c r="O103" i="1" s="1"/>
  <c r="O13" i="1" s="1"/>
  <c r="O9" i="1" s="1"/>
  <c r="AV159" i="1"/>
  <c r="AW159" i="1" s="1"/>
  <c r="AW158" i="1"/>
  <c r="AT133" i="1"/>
  <c r="AT131" i="1" s="1"/>
  <c r="AL131" i="1"/>
  <c r="AO133" i="1"/>
  <c r="P123" i="1"/>
  <c r="N125" i="1"/>
  <c r="N123" i="1" s="1"/>
  <c r="AV191" i="1"/>
  <c r="AW191" i="1" s="1"/>
  <c r="AW190" i="1"/>
  <c r="AM310" i="1"/>
  <c r="AP310" i="1" s="1"/>
  <c r="AP311" i="1"/>
  <c r="Q358" i="1"/>
  <c r="AV358" i="1"/>
  <c r="AW358" i="1" s="1"/>
  <c r="N358" i="1"/>
  <c r="O358" i="1" s="1"/>
  <c r="AO208" i="1"/>
  <c r="AP207" i="1"/>
  <c r="AP208" i="1" s="1"/>
  <c r="AY11" i="1"/>
  <c r="AY10" i="1" s="1"/>
  <c r="AY14" i="1"/>
  <c r="F14" i="1"/>
  <c r="F11" i="1"/>
  <c r="F10" i="1" s="1"/>
  <c r="O50" i="1"/>
  <c r="Q50" i="1" s="1"/>
  <c r="Q49" i="1"/>
  <c r="O62" i="1"/>
  <c r="Q62" i="1" s="1"/>
  <c r="Q61" i="1"/>
  <c r="N74" i="1"/>
  <c r="P74" i="1" s="1"/>
  <c r="P73" i="1"/>
  <c r="AP115" i="1"/>
  <c r="AP106" i="1" s="1"/>
  <c r="AP16" i="1" s="1"/>
  <c r="AP12" i="1" s="1"/>
  <c r="AM106" i="1"/>
  <c r="AM16" i="1" s="1"/>
  <c r="AM12" i="1" s="1"/>
  <c r="X109" i="1"/>
  <c r="AF109" i="1"/>
  <c r="AF105" i="1" s="1"/>
  <c r="W105" i="1"/>
  <c r="O150" i="1"/>
  <c r="P150" i="1"/>
  <c r="N150" i="1" s="1"/>
  <c r="AI119" i="1"/>
  <c r="AO95" i="1"/>
  <c r="AO26" i="1" s="1"/>
  <c r="AR95" i="1"/>
  <c r="AM95" i="1"/>
  <c r="P96" i="1"/>
  <c r="N97" i="1"/>
  <c r="N141" i="1"/>
  <c r="N139" i="1" s="1"/>
  <c r="P139" i="1"/>
  <c r="AJ141" i="1"/>
  <c r="AP145" i="1"/>
  <c r="O171" i="1"/>
  <c r="P171" i="1"/>
  <c r="N171" i="1" s="1"/>
  <c r="AV142" i="1"/>
  <c r="AW142" i="1" s="1"/>
  <c r="AV139" i="1"/>
  <c r="AW141" i="1"/>
  <c r="AW139" i="1" s="1"/>
  <c r="AV147" i="1"/>
  <c r="AW149" i="1"/>
  <c r="AV150" i="1"/>
  <c r="AW150" i="1" s="1"/>
  <c r="AM119" i="1"/>
  <c r="AO150" i="1"/>
  <c r="AP149" i="1"/>
  <c r="AP150" i="1" s="1"/>
  <c r="AV176" i="1"/>
  <c r="AW176" i="1" s="1"/>
  <c r="AW175" i="1"/>
  <c r="O123" i="1"/>
  <c r="AO173" i="1"/>
  <c r="AZ215" i="1"/>
  <c r="O248" i="1"/>
  <c r="P248" i="1"/>
  <c r="N248" i="1" s="1"/>
  <c r="AO192" i="1"/>
  <c r="AV215" i="1"/>
  <c r="AW217" i="1"/>
  <c r="AV223" i="1"/>
  <c r="AW223" i="1" s="1"/>
  <c r="O129" i="1"/>
  <c r="P129" i="1"/>
  <c r="N129" i="1" s="1"/>
  <c r="AJ195" i="1"/>
  <c r="AJ193" i="1" s="1"/>
  <c r="AI193" i="1"/>
  <c r="AO195" i="1"/>
  <c r="AO204" i="1"/>
  <c r="AO201" i="1"/>
  <c r="O225" i="1"/>
  <c r="P225" i="1"/>
  <c r="N225" i="1" s="1"/>
  <c r="AW256" i="1"/>
  <c r="AV257" i="1"/>
  <c r="AW257" i="1" s="1"/>
  <c r="AV269" i="1"/>
  <c r="AW269" i="1" s="1"/>
  <c r="AW268" i="1"/>
  <c r="AP315" i="1"/>
  <c r="AP327" i="1"/>
  <c r="AP330" i="1"/>
  <c r="AP336" i="1"/>
  <c r="AP339" i="1"/>
  <c r="AP312" i="1"/>
  <c r="AP318" i="1"/>
  <c r="AV179" i="1"/>
  <c r="AW179" i="1" s="1"/>
  <c r="AW178" i="1"/>
  <c r="AQ192" i="1"/>
  <c r="BL194" i="1"/>
  <c r="BL192" i="1" s="1"/>
  <c r="BL119" i="1" s="1"/>
  <c r="AV225" i="1"/>
  <c r="AW225" i="1" s="1"/>
  <c r="AW224" i="1"/>
  <c r="AW216" i="1" s="1"/>
  <c r="AP221" i="1"/>
  <c r="AP222" i="1" s="1"/>
  <c r="AO222" i="1"/>
  <c r="AV281" i="1"/>
  <c r="AW281" i="1" s="1"/>
  <c r="AW280" i="1"/>
  <c r="AR310" i="1"/>
  <c r="AR311" i="1" s="1"/>
  <c r="AT310" i="1"/>
  <c r="AO310" i="1"/>
  <c r="P314" i="1"/>
  <c r="N314" i="1" s="1"/>
  <c r="O314" i="1"/>
  <c r="AO316" i="1"/>
  <c r="AV316" i="1"/>
  <c r="AR316" i="1"/>
  <c r="AR317" i="1" s="1"/>
  <c r="AM316" i="1"/>
  <c r="AP316" i="1" s="1"/>
  <c r="AT316" i="1"/>
  <c r="AP333" i="1"/>
  <c r="Q352" i="1"/>
  <c r="N352" i="1"/>
  <c r="O352" i="1" s="1"/>
  <c r="N347" i="1"/>
  <c r="N345" i="1" s="1"/>
  <c r="N342" i="1" s="1"/>
  <c r="O349" i="1"/>
  <c r="O347" i="1" s="1"/>
  <c r="O345" i="1" s="1"/>
  <c r="O342" i="1" s="1"/>
  <c r="AW183" i="1"/>
  <c r="AW172" i="1" s="1"/>
  <c r="AV172" i="1"/>
  <c r="AM231" i="1"/>
  <c r="AT231" i="1"/>
  <c r="AV231" i="1"/>
  <c r="AW231" i="1" s="1"/>
  <c r="AP233" i="1"/>
  <c r="AP234" i="1" s="1"/>
  <c r="AO234" i="1"/>
  <c r="AF247" i="1"/>
  <c r="AC236" i="1"/>
  <c r="AC120" i="1" s="1"/>
  <c r="AC121" i="1" s="1"/>
  <c r="AC15" i="1" s="1"/>
  <c r="O254" i="1"/>
  <c r="P254" i="1"/>
  <c r="N254" i="1" s="1"/>
  <c r="P269" i="1"/>
  <c r="N269" i="1" s="1"/>
  <c r="O269" i="1"/>
  <c r="AM147" i="1"/>
  <c r="AP147" i="1" s="1"/>
  <c r="P173" i="1"/>
  <c r="AO219" i="1"/>
  <c r="AP218" i="1"/>
  <c r="AP219" i="1" s="1"/>
  <c r="AR344" i="1"/>
  <c r="BN14" i="1"/>
  <c r="BN11" i="1"/>
  <c r="BN10" i="1" s="1"/>
  <c r="I11" i="1"/>
  <c r="I10" i="1" s="1"/>
  <c r="I14" i="1"/>
  <c r="BH11" i="1"/>
  <c r="BH10" i="1" s="1"/>
  <c r="BH14" i="1"/>
  <c r="P48" i="1"/>
  <c r="AL48" i="1" s="1"/>
  <c r="N49" i="1"/>
  <c r="N56" i="1"/>
  <c r="P56" i="1" s="1"/>
  <c r="P55" i="1"/>
  <c r="AV118" i="1"/>
  <c r="AW117" i="1"/>
  <c r="AI16" i="1"/>
  <c r="AR106" i="1"/>
  <c r="AM138" i="1"/>
  <c r="AP138" i="1" s="1"/>
  <c r="AP140" i="1"/>
  <c r="AM125" i="1"/>
  <c r="AP126" i="1"/>
  <c r="N147" i="1"/>
  <c r="P193" i="1"/>
  <c r="N195" i="1"/>
  <c r="N193" i="1" s="1"/>
  <c r="AV195" i="1"/>
  <c r="AT173" i="1"/>
  <c r="AG246" i="1"/>
  <c r="AG235" i="1" s="1"/>
  <c r="AG119" i="1" s="1"/>
  <c r="AD235" i="1"/>
  <c r="AD119" i="1" s="1"/>
  <c r="O272" i="1"/>
  <c r="P272" i="1"/>
  <c r="N272" i="1" s="1"/>
  <c r="AV298" i="1"/>
  <c r="AW297" i="1"/>
  <c r="AW235" i="1" s="1"/>
  <c r="O302" i="1"/>
  <c r="P302" i="1"/>
  <c r="N302" i="1" s="1"/>
  <c r="O251" i="1"/>
  <c r="P251" i="1"/>
  <c r="N251" i="1" s="1"/>
  <c r="AM277" i="1"/>
  <c r="AP277" i="1" s="1"/>
  <c r="AP278" i="1" s="1"/>
  <c r="AO277" i="1"/>
  <c r="AO278" i="1" s="1"/>
  <c r="AV277" i="1"/>
  <c r="AO307" i="1"/>
  <c r="AR307" i="1"/>
  <c r="AR308" i="1" s="1"/>
  <c r="AT307" i="1"/>
  <c r="AT236" i="1" s="1"/>
  <c r="AM307" i="1"/>
  <c r="AP307" i="1" s="1"/>
  <c r="O323" i="1"/>
  <c r="P323" i="1"/>
  <c r="N323" i="1" s="1"/>
  <c r="AV153" i="1"/>
  <c r="AW153" i="1" s="1"/>
  <c r="AW152" i="1"/>
  <c r="P236" i="1"/>
  <c r="AW325" i="1"/>
  <c r="AV326" i="1"/>
  <c r="AW326" i="1" s="1"/>
  <c r="BE14" i="1"/>
  <c r="BE11" i="1"/>
  <c r="BE10" i="1" s="1"/>
  <c r="BQ11" i="1"/>
  <c r="BQ10" i="1" s="1"/>
  <c r="BQ14" i="1"/>
  <c r="N19" i="1"/>
  <c r="P22" i="1"/>
  <c r="P19" i="1" s="1"/>
  <c r="BI14" i="1"/>
  <c r="BI11" i="1"/>
  <c r="BI10" i="1" s="1"/>
  <c r="Z14" i="1"/>
  <c r="Z11" i="1"/>
  <c r="Z10" i="1" s="1"/>
  <c r="AY13" i="1"/>
  <c r="BC11" i="1"/>
  <c r="BC10" i="1" s="1"/>
  <c r="BC14" i="1"/>
  <c r="BO14" i="1"/>
  <c r="BO11" i="1"/>
  <c r="BO10" i="1" s="1"/>
  <c r="Q55" i="1"/>
  <c r="O56" i="1"/>
  <c r="Q56" i="1" s="1"/>
  <c r="BD11" i="1"/>
  <c r="BD10" i="1" s="1"/>
  <c r="BD14" i="1"/>
  <c r="P63" i="1"/>
  <c r="AL63" i="1" s="1"/>
  <c r="N64" i="1"/>
  <c r="AT25" i="1"/>
  <c r="AM54" i="1"/>
  <c r="AP54" i="1" s="1"/>
  <c r="AO54" i="1"/>
  <c r="Q76" i="1"/>
  <c r="O77" i="1"/>
  <c r="Q77" i="1" s="1"/>
  <c r="AF107" i="1"/>
  <c r="AF103" i="1" s="1"/>
  <c r="AF13" i="1" s="1"/>
  <c r="AF9" i="1" s="1"/>
  <c r="AD107" i="1"/>
  <c r="AC103" i="1"/>
  <c r="AC13" i="1" s="1"/>
  <c r="AC9" i="1" s="1"/>
  <c r="AV106" i="1"/>
  <c r="AV16" i="1" s="1"/>
  <c r="AV12" i="1" s="1"/>
  <c r="AW115" i="1"/>
  <c r="AW106" i="1" s="1"/>
  <c r="AW16" i="1" s="1"/>
  <c r="AW12" i="1" s="1"/>
  <c r="O83" i="1"/>
  <c r="Q83" i="1" s="1"/>
  <c r="Q82" i="1"/>
  <c r="AL93" i="1"/>
  <c r="AV93" i="1"/>
  <c r="AO103" i="1"/>
  <c r="AR130" i="1"/>
  <c r="AO130" i="1"/>
  <c r="AI104" i="1"/>
  <c r="N119" i="1"/>
  <c r="AV125" i="1"/>
  <c r="E123" i="1"/>
  <c r="AV146" i="1"/>
  <c r="AW151" i="1"/>
  <c r="AW146" i="1" s="1"/>
  <c r="AR172" i="1"/>
  <c r="AP180" i="1"/>
  <c r="AR146" i="1"/>
  <c r="AP177" i="1"/>
  <c r="O275" i="1"/>
  <c r="P275" i="1"/>
  <c r="N275" i="1" s="1"/>
  <c r="P105" i="1"/>
  <c r="P104" i="1" s="1"/>
  <c r="Q109" i="1"/>
  <c r="Q105" i="1" s="1"/>
  <c r="Q104" i="1" s="1"/>
  <c r="N109" i="1"/>
  <c r="Q216" i="1"/>
  <c r="Q120" i="1" s="1"/>
  <c r="Q121" i="1" s="1"/>
  <c r="AM173" i="1"/>
  <c r="AP175" i="1"/>
  <c r="AP176" i="1" s="1"/>
  <c r="AM176" i="1"/>
  <c r="O242" i="1"/>
  <c r="P242" i="1"/>
  <c r="N242" i="1" s="1"/>
  <c r="AO235" i="1"/>
  <c r="BX235" i="1" s="1"/>
  <c r="AP297" i="1"/>
  <c r="AP193" i="1"/>
  <c r="AS236" i="1"/>
  <c r="AS120" i="1" s="1"/>
  <c r="AS121" i="1" s="1"/>
  <c r="AS15" i="1" s="1"/>
  <c r="AD253" i="1"/>
  <c r="AF253" i="1"/>
  <c r="AD259" i="1"/>
  <c r="AG259" i="1" s="1"/>
  <c r="AF259" i="1"/>
  <c r="AV275" i="1"/>
  <c r="AW275" i="1" s="1"/>
  <c r="AW274" i="1"/>
  <c r="AM289" i="1"/>
  <c r="AP289" i="1" s="1"/>
  <c r="AP290" i="1" s="1"/>
  <c r="AO289" i="1"/>
  <c r="AO290" i="1" s="1"/>
  <c r="AV289" i="1"/>
  <c r="AV293" i="1"/>
  <c r="AW293" i="1" s="1"/>
  <c r="AW292" i="1"/>
  <c r="AP309" i="1"/>
  <c r="O326" i="1"/>
  <c r="P326" i="1"/>
  <c r="N326" i="1" s="1"/>
  <c r="AW309" i="1"/>
  <c r="AV312" i="1"/>
  <c r="AW312" i="1" s="1"/>
  <c r="AV310" i="1"/>
  <c r="AP303" i="1"/>
  <c r="AR277" i="1"/>
  <c r="AP230" i="1"/>
  <c r="AP231" i="1" s="1"/>
  <c r="AO231" i="1"/>
  <c r="AO299" i="1"/>
  <c r="AP298" i="1"/>
  <c r="AP299" i="1" s="1"/>
  <c r="AP300" i="1"/>
  <c r="P335" i="1"/>
  <c r="N335" i="1" s="1"/>
  <c r="O335" i="1"/>
  <c r="AP353" i="1"/>
  <c r="AP347" i="1" s="1"/>
  <c r="AP345" i="1" s="1"/>
  <c r="AP342" i="1" s="1"/>
  <c r="AM347" i="1"/>
  <c r="AM345" i="1" s="1"/>
  <c r="AM342" i="1" s="1"/>
  <c r="AR216" i="1"/>
  <c r="AI236" i="1"/>
  <c r="AR236" i="1" s="1"/>
  <c r="BX342" i="1"/>
  <c r="AD344" i="1"/>
  <c r="AD343" i="1"/>
  <c r="N65" i="1" l="1"/>
  <c r="P65" i="1" s="1"/>
  <c r="P64" i="1"/>
  <c r="AC11" i="1"/>
  <c r="AC10" i="1" s="1"/>
  <c r="AC14" i="1"/>
  <c r="O350" i="1"/>
  <c r="O348" i="1" s="1"/>
  <c r="O346" i="1" s="1"/>
  <c r="N348" i="1"/>
  <c r="N346" i="1" s="1"/>
  <c r="AO191" i="1"/>
  <c r="AP191" i="1" s="1"/>
  <c r="AP190" i="1"/>
  <c r="N77" i="1"/>
  <c r="P77" i="1" s="1"/>
  <c r="P76" i="1"/>
  <c r="N62" i="1"/>
  <c r="P62" i="1" s="1"/>
  <c r="P61" i="1"/>
  <c r="P42" i="1"/>
  <c r="N43" i="1"/>
  <c r="N24" i="1"/>
  <c r="N13" i="1" s="1"/>
  <c r="N9" i="1" s="1"/>
  <c r="O234" i="1"/>
  <c r="P234" i="1"/>
  <c r="N234" i="1" s="1"/>
  <c r="AP118" i="1"/>
  <c r="AP105" i="1" s="1"/>
  <c r="AM105" i="1"/>
  <c r="AM63" i="1"/>
  <c r="AP63" i="1" s="1"/>
  <c r="AO63" i="1"/>
  <c r="AV278" i="1"/>
  <c r="AW278" i="1" s="1"/>
  <c r="AW277" i="1"/>
  <c r="AV299" i="1"/>
  <c r="AW299" i="1" s="1"/>
  <c r="AW298" i="1"/>
  <c r="AF236" i="1"/>
  <c r="AF120" i="1" s="1"/>
  <c r="AF121" i="1" s="1"/>
  <c r="AF15" i="1" s="1"/>
  <c r="AR173" i="1"/>
  <c r="AI120" i="1"/>
  <c r="AD106" i="1"/>
  <c r="AG115" i="1"/>
  <c r="AG106" i="1" s="1"/>
  <c r="AG16" i="1" s="1"/>
  <c r="AG12" i="1" s="1"/>
  <c r="AO60" i="1"/>
  <c r="AL57" i="1"/>
  <c r="AM60" i="1"/>
  <c r="AP60" i="1" s="1"/>
  <c r="AP44" i="1"/>
  <c r="AJ26" i="1"/>
  <c r="AO236" i="1"/>
  <c r="N233" i="1"/>
  <c r="N216" i="1" s="1"/>
  <c r="N120" i="1" s="1"/>
  <c r="N121" i="1" s="1"/>
  <c r="P216" i="1"/>
  <c r="AV235" i="1"/>
  <c r="AP235" i="1"/>
  <c r="AP119" i="1" s="1"/>
  <c r="AV119" i="1"/>
  <c r="AV94" i="1"/>
  <c r="AW93" i="1"/>
  <c r="AV24" i="1"/>
  <c r="N50" i="1"/>
  <c r="P50" i="1" s="1"/>
  <c r="P49" i="1"/>
  <c r="AR193" i="1"/>
  <c r="AO193" i="1"/>
  <c r="O120" i="1"/>
  <c r="O121" i="1" s="1"/>
  <c r="AW147" i="1"/>
  <c r="AJ139" i="1"/>
  <c r="AP139" i="1" s="1"/>
  <c r="AP144" i="1"/>
  <c r="AL96" i="1"/>
  <c r="AV96" i="1"/>
  <c r="AR119" i="1"/>
  <c r="AI13" i="1"/>
  <c r="AF104" i="1"/>
  <c r="P120" i="1"/>
  <c r="P121" i="1" s="1"/>
  <c r="Q348" i="1"/>
  <c r="Q346" i="1" s="1"/>
  <c r="AO211" i="1"/>
  <c r="AP210" i="1"/>
  <c r="AP211" i="1" s="1"/>
  <c r="AO188" i="1"/>
  <c r="AP188" i="1" s="1"/>
  <c r="AP187" i="1"/>
  <c r="AV134" i="1"/>
  <c r="AW134" i="1" s="1"/>
  <c r="AW133" i="1"/>
  <c r="AW131" i="1" s="1"/>
  <c r="AV131" i="1"/>
  <c r="AU11" i="1"/>
  <c r="AU10" i="1" s="1"/>
  <c r="AU14" i="1"/>
  <c r="AM81" i="1"/>
  <c r="AP81" i="1" s="1"/>
  <c r="AO81" i="1"/>
  <c r="Q24" i="1"/>
  <c r="Q13" i="1" s="1"/>
  <c r="Q9" i="1" s="1"/>
  <c r="AL104" i="1"/>
  <c r="AR104" i="1" s="1"/>
  <c r="AR105" i="1"/>
  <c r="AL15" i="1"/>
  <c r="P57" i="1"/>
  <c r="N58" i="1"/>
  <c r="AS14" i="1"/>
  <c r="AS11" i="1"/>
  <c r="AS10" i="1" s="1"/>
  <c r="AV126" i="1"/>
  <c r="AW126" i="1" s="1"/>
  <c r="AW125" i="1"/>
  <c r="AW123" i="1" s="1"/>
  <c r="AV123" i="1"/>
  <c r="AM123" i="1"/>
  <c r="AP125" i="1"/>
  <c r="AI12" i="1"/>
  <c r="AR12" i="1" s="1"/>
  <c r="AR16" i="1"/>
  <c r="AP204" i="1"/>
  <c r="AP205" i="1" s="1"/>
  <c r="AO205" i="1"/>
  <c r="AO131" i="1"/>
  <c r="AR131" i="1"/>
  <c r="J11" i="1"/>
  <c r="J10" i="1" s="1"/>
  <c r="J14" i="1"/>
  <c r="AT120" i="1"/>
  <c r="AT121" i="1" s="1"/>
  <c r="AT15" i="1" s="1"/>
  <c r="AP173" i="1"/>
  <c r="BX103" i="1"/>
  <c r="AD103" i="1"/>
  <c r="AD13" i="1" s="1"/>
  <c r="AD9" i="1" s="1"/>
  <c r="AG107" i="1"/>
  <c r="AG103" i="1" s="1"/>
  <c r="AG13" i="1" s="1"/>
  <c r="AG9" i="1" s="1"/>
  <c r="AW316" i="1"/>
  <c r="AV317" i="1"/>
  <c r="AW317" i="1" s="1"/>
  <c r="AP195" i="1"/>
  <c r="AP196" i="1" s="1"/>
  <c r="AO196" i="1"/>
  <c r="P97" i="1"/>
  <c r="N98" i="1"/>
  <c r="P98" i="1" s="1"/>
  <c r="W104" i="1"/>
  <c r="W15" i="1"/>
  <c r="AV348" i="1"/>
  <c r="AV346" i="1" s="1"/>
  <c r="AW350" i="1"/>
  <c r="AW348" i="1" s="1"/>
  <c r="AW346" i="1" s="1"/>
  <c r="AW304" i="1"/>
  <c r="AV305" i="1"/>
  <c r="AW305" i="1" s="1"/>
  <c r="N83" i="1"/>
  <c r="P83" i="1" s="1"/>
  <c r="P82" i="1"/>
  <c r="AM75" i="1"/>
  <c r="AP75" i="1" s="1"/>
  <c r="AO75" i="1"/>
  <c r="AW310" i="1"/>
  <c r="AV311" i="1"/>
  <c r="AW311" i="1" s="1"/>
  <c r="AV313" i="1"/>
  <c r="AV290" i="1"/>
  <c r="AW290" i="1" s="1"/>
  <c r="AW289" i="1"/>
  <c r="AG253" i="1"/>
  <c r="AG236" i="1" s="1"/>
  <c r="AG120" i="1" s="1"/>
  <c r="AG121" i="1" s="1"/>
  <c r="AD236" i="1"/>
  <c r="AD120" i="1" s="1"/>
  <c r="AD121" i="1" s="1"/>
  <c r="AD15" i="1" s="1"/>
  <c r="N105" i="1"/>
  <c r="N104" i="1" s="1"/>
  <c r="O109" i="1"/>
  <c r="O105" i="1" s="1"/>
  <c r="E120" i="1"/>
  <c r="E121" i="1" s="1"/>
  <c r="E15" i="1" s="1"/>
  <c r="AR93" i="1"/>
  <c r="AM93" i="1"/>
  <c r="AP93" i="1" s="1"/>
  <c r="AO93" i="1"/>
  <c r="BL93" i="1"/>
  <c r="AY9" i="1"/>
  <c r="AW195" i="1"/>
  <c r="AV196" i="1"/>
  <c r="AW196" i="1" s="1"/>
  <c r="AV204" i="1"/>
  <c r="AW118" i="1"/>
  <c r="AW105" i="1" s="1"/>
  <c r="AV105" i="1"/>
  <c r="AM48" i="1"/>
  <c r="AP48" i="1" s="1"/>
  <c r="AO48" i="1"/>
  <c r="AL42" i="1"/>
  <c r="AV187" i="1"/>
  <c r="AV184" i="1"/>
  <c r="AP201" i="1"/>
  <c r="AP202" i="1" s="1"/>
  <c r="AO202" i="1"/>
  <c r="AW215" i="1"/>
  <c r="AW119" i="1" s="1"/>
  <c r="AP95" i="1"/>
  <c r="AM26" i="1"/>
  <c r="X105" i="1"/>
  <c r="AG109" i="1"/>
  <c r="AG105" i="1" s="1"/>
  <c r="AO134" i="1"/>
  <c r="AP133" i="1"/>
  <c r="AP134" i="1" s="1"/>
  <c r="AM236" i="1"/>
  <c r="AZ119" i="1"/>
  <c r="P344" i="1"/>
  <c r="P343" i="1"/>
  <c r="AJ173" i="1"/>
  <c r="AP178" i="1"/>
  <c r="AP179" i="1" s="1"/>
  <c r="AP181" i="1"/>
  <c r="AP182" i="1" s="1"/>
  <c r="AL120" i="1"/>
  <c r="AL121" i="1" s="1"/>
  <c r="AO123" i="1"/>
  <c r="AR123" i="1"/>
  <c r="BP11" i="1"/>
  <c r="BP10" i="1" s="1"/>
  <c r="BP14" i="1"/>
  <c r="AW91" i="1"/>
  <c r="AV92" i="1"/>
  <c r="AC16" i="1"/>
  <c r="AC12" i="1" s="1"/>
  <c r="AC104" i="1"/>
  <c r="O44" i="1"/>
  <c r="Q43" i="1"/>
  <c r="Q25" i="1" s="1"/>
  <c r="O25" i="1"/>
  <c r="AW301" i="1"/>
  <c r="AV302" i="1"/>
  <c r="AW302" i="1" s="1"/>
  <c r="AP236" i="1"/>
  <c r="AO104" i="1"/>
  <c r="Q58" i="1"/>
  <c r="O59" i="1"/>
  <c r="Q59" i="1" s="1"/>
  <c r="AF14" i="1" l="1"/>
  <c r="AF11" i="1"/>
  <c r="AF10" i="1" s="1"/>
  <c r="AW204" i="1"/>
  <c r="AV205" i="1"/>
  <c r="AW205" i="1" s="1"/>
  <c r="W11" i="1"/>
  <c r="W10" i="1" s="1"/>
  <c r="W14" i="1"/>
  <c r="Q44" i="1"/>
  <c r="Q26" i="1" s="1"/>
  <c r="Q15" i="1" s="1"/>
  <c r="O26" i="1"/>
  <c r="O15" i="1" s="1"/>
  <c r="AW92" i="1"/>
  <c r="BW119" i="1"/>
  <c r="BX119" i="1" s="1"/>
  <c r="AD11" i="1"/>
  <c r="AD10" i="1" s="1"/>
  <c r="AT11" i="1"/>
  <c r="AT10" i="1" s="1"/>
  <c r="AT14" i="1"/>
  <c r="AM57" i="1"/>
  <c r="AP57" i="1" s="1"/>
  <c r="AO57" i="1"/>
  <c r="AZ57" i="1"/>
  <c r="AR57" i="1"/>
  <c r="AW193" i="1"/>
  <c r="E14" i="1"/>
  <c r="E11" i="1"/>
  <c r="E10" i="1" s="1"/>
  <c r="AW343" i="1"/>
  <c r="AW344" i="1"/>
  <c r="P58" i="1"/>
  <c r="N59" i="1"/>
  <c r="P59" i="1" s="1"/>
  <c r="AO96" i="1"/>
  <c r="BL96" i="1"/>
  <c r="BL24" i="1" s="1"/>
  <c r="BL13" i="1" s="1"/>
  <c r="BL9" i="1" s="1"/>
  <c r="AR96" i="1"/>
  <c r="AM96" i="1"/>
  <c r="AP96" i="1" s="1"/>
  <c r="AV95" i="1"/>
  <c r="AW95" i="1" s="1"/>
  <c r="AW94" i="1"/>
  <c r="AP104" i="1"/>
  <c r="N44" i="1"/>
  <c r="P43" i="1"/>
  <c r="P25" i="1" s="1"/>
  <c r="N25" i="1"/>
  <c r="N343" i="1"/>
  <c r="N344" i="1"/>
  <c r="AL14" i="1"/>
  <c r="AL11" i="1"/>
  <c r="AL10" i="1" s="1"/>
  <c r="AV13" i="1"/>
  <c r="AV9" i="1" s="1"/>
  <c r="AD16" i="1"/>
  <c r="AD12" i="1" s="1"/>
  <c r="AD104" i="1"/>
  <c r="AG104" i="1"/>
  <c r="AG15" i="1"/>
  <c r="AV185" i="1"/>
  <c r="AW185" i="1" s="1"/>
  <c r="AW184" i="1"/>
  <c r="AW173" i="1" s="1"/>
  <c r="AV173" i="1"/>
  <c r="AW313" i="1"/>
  <c r="AW236" i="1" s="1"/>
  <c r="AV314" i="1"/>
  <c r="AW314" i="1" s="1"/>
  <c r="AW96" i="1"/>
  <c r="AW24" i="1" s="1"/>
  <c r="AW13" i="1" s="1"/>
  <c r="AW9" i="1" s="1"/>
  <c r="AV97" i="1"/>
  <c r="AR120" i="1"/>
  <c r="AI121" i="1"/>
  <c r="AM104" i="1"/>
  <c r="AO120" i="1"/>
  <c r="AO121" i="1" s="1"/>
  <c r="AO15" i="1" s="1"/>
  <c r="AJ120" i="1"/>
  <c r="AJ121" i="1" s="1"/>
  <c r="AJ15" i="1" s="1"/>
  <c r="X104" i="1"/>
  <c r="X15" i="1"/>
  <c r="AV188" i="1"/>
  <c r="AW188" i="1" s="1"/>
  <c r="AW187" i="1"/>
  <c r="AV104" i="1"/>
  <c r="AL24" i="1"/>
  <c r="AR42" i="1"/>
  <c r="AM42" i="1"/>
  <c r="AO42" i="1"/>
  <c r="AO24" i="1" s="1"/>
  <c r="AZ42" i="1"/>
  <c r="AZ24" i="1" s="1"/>
  <c r="AZ13" i="1" s="1"/>
  <c r="AW104" i="1"/>
  <c r="AV193" i="1"/>
  <c r="O104" i="1"/>
  <c r="AV343" i="1"/>
  <c r="AV344" i="1"/>
  <c r="AP123" i="1"/>
  <c r="AP120" i="1" s="1"/>
  <c r="AP121" i="1" s="1"/>
  <c r="AP15" i="1" s="1"/>
  <c r="AM120" i="1"/>
  <c r="AM121" i="1" s="1"/>
  <c r="AM15" i="1" s="1"/>
  <c r="Q344" i="1"/>
  <c r="Q343" i="1"/>
  <c r="AI9" i="1"/>
  <c r="AP26" i="1"/>
  <c r="AV236" i="1"/>
  <c r="AV120" i="1" s="1"/>
  <c r="AV121" i="1" s="1"/>
  <c r="P24" i="1"/>
  <c r="P13" i="1" s="1"/>
  <c r="P9" i="1" s="1"/>
  <c r="O343" i="1"/>
  <c r="O344" i="1"/>
  <c r="AM14" i="1" l="1"/>
  <c r="AM11" i="1"/>
  <c r="AM10" i="1" s="1"/>
  <c r="O14" i="1"/>
  <c r="O11" i="1"/>
  <c r="O10" i="1" s="1"/>
  <c r="AP11" i="1"/>
  <c r="AP10" i="1" s="1"/>
  <c r="AP14" i="1"/>
  <c r="AV15" i="1"/>
  <c r="AZ9" i="1"/>
  <c r="BW9" i="1" s="1"/>
  <c r="BW13" i="1"/>
  <c r="AW120" i="1"/>
  <c r="AW121" i="1" s="1"/>
  <c r="AO11" i="1"/>
  <c r="AO10" i="1" s="1"/>
  <c r="AO14" i="1"/>
  <c r="AO13" i="1"/>
  <c r="X11" i="1"/>
  <c r="X10" i="1" s="1"/>
  <c r="X14" i="1"/>
  <c r="AP42" i="1"/>
  <c r="AP24" i="1" s="1"/>
  <c r="AP13" i="1" s="1"/>
  <c r="AP9" i="1" s="1"/>
  <c r="AM24" i="1"/>
  <c r="AM13" i="1" s="1"/>
  <c r="AM9" i="1" s="1"/>
  <c r="AW97" i="1"/>
  <c r="AW25" i="1" s="1"/>
  <c r="AV98" i="1"/>
  <c r="AW98" i="1" s="1"/>
  <c r="AV25" i="1"/>
  <c r="AG14" i="1"/>
  <c r="AG11" i="1"/>
  <c r="AG10" i="1" s="1"/>
  <c r="Q11" i="1"/>
  <c r="Q10" i="1" s="1"/>
  <c r="Q14" i="1"/>
  <c r="BW24" i="1"/>
  <c r="BX24" i="1" s="1"/>
  <c r="AL13" i="1"/>
  <c r="AR24" i="1"/>
  <c r="AR121" i="1"/>
  <c r="AI15" i="1"/>
  <c r="AW26" i="1"/>
  <c r="P44" i="1"/>
  <c r="P26" i="1" s="1"/>
  <c r="P15" i="1" s="1"/>
  <c r="N26" i="1"/>
  <c r="N15" i="1" s="1"/>
  <c r="AJ11" i="1"/>
  <c r="AJ10" i="1" s="1"/>
  <c r="AJ14" i="1"/>
  <c r="AD14" i="1"/>
  <c r="AV26" i="1"/>
  <c r="AL9" i="1" l="1"/>
  <c r="AR9" i="1" s="1"/>
  <c r="AR13" i="1"/>
  <c r="AI11" i="1"/>
  <c r="AR15" i="1"/>
  <c r="AI14" i="1"/>
  <c r="AR14" i="1" s="1"/>
  <c r="AO9" i="1"/>
  <c r="BX9" i="1" s="1"/>
  <c r="BX13" i="1"/>
  <c r="AV14" i="1"/>
  <c r="AV11" i="1"/>
  <c r="AV10" i="1" s="1"/>
  <c r="N14" i="1"/>
  <c r="N11" i="1"/>
  <c r="N10" i="1" s="1"/>
  <c r="AW15" i="1"/>
  <c r="P11" i="1"/>
  <c r="P10" i="1" s="1"/>
  <c r="P14" i="1"/>
  <c r="AW14" i="1" l="1"/>
  <c r="AW11" i="1"/>
  <c r="AW10" i="1" s="1"/>
  <c r="AI10" i="1"/>
  <c r="AR10" i="1" s="1"/>
  <c r="AR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kuzetova_a</author>
    <author>Асель М. Кузетова</author>
  </authors>
  <commentList>
    <comment ref="K42" authorId="0" shapeId="0" xr:uid="{B5A51DAF-1E06-4349-B039-983D75E8C672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компьютеры</t>
        </r>
      </text>
    </comment>
    <comment ref="K57" authorId="0" shapeId="0" xr:uid="{4BD8CADC-E2D7-42B0-9201-6696BAB68FC1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ИБП</t>
        </r>
      </text>
    </comment>
    <comment ref="K84" authorId="0" shapeId="0" xr:uid="{ABD635DB-68BE-405F-B1EE-B45458C661F6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микроволновая печь</t>
        </r>
      </text>
    </comment>
    <comment ref="AL84" authorId="0" shapeId="0" xr:uid="{43DF263B-35D1-4A5C-95DC-46DCE44ECDC1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НПФ-4</t>
        </r>
      </text>
    </comment>
    <comment ref="AP84" authorId="0" shapeId="0" xr:uid="{9AD44981-4E86-4851-B8D7-1C99F869E4A7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усл.экономия (т.к. Поствщик не явл.плательщиком НДС)</t>
        </r>
      </text>
    </comment>
    <comment ref="AP85" authorId="0" shapeId="0" xr:uid="{8056681E-86EC-451D-A0FD-141BF5F96A5A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усл.экономия (т.к. Поствщик не явл.плательщиком НДС)</t>
        </r>
      </text>
    </comment>
    <comment ref="K87" authorId="0" shapeId="0" xr:uid="{B8EE34DC-F72D-4B1C-BA5F-912DF920B875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микроволновая печь</t>
        </r>
      </text>
    </comment>
    <comment ref="AL87" authorId="0" shapeId="0" xr:uid="{9EA91014-CA50-4774-B899-ED6FF905199B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НПФ-6</t>
        </r>
      </text>
    </comment>
    <comment ref="K90" authorId="0" shapeId="0" xr:uid="{F1D1AE33-171F-4890-8287-EBAAE0BA5C51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микроволновая печь</t>
        </r>
      </text>
    </comment>
    <comment ref="AL90" authorId="0" shapeId="0" xr:uid="{8FD15DD4-2842-4B5B-9FA1-2B1AA5322E7F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НПФ-1</t>
        </r>
      </text>
    </comment>
    <comment ref="K93" authorId="0" shapeId="0" xr:uid="{118B4070-E863-47DB-9402-727C50FEC86A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микроволновая печь</t>
        </r>
      </text>
    </comment>
    <comment ref="AL93" authorId="0" shapeId="0" xr:uid="{DFF2A37A-5FE1-4EBF-A2D4-9356760F4C69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НПФ-3</t>
        </r>
      </text>
    </comment>
    <comment ref="K96" authorId="0" shapeId="0" xr:uid="{BA662D5C-7670-4F28-8743-AA8D68A06E1B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кондиционер</t>
        </r>
      </text>
    </comment>
    <comment ref="AL96" authorId="0" shapeId="0" xr:uid="{27348852-738F-4A91-8096-94C2EB5D81BE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НПФ-3</t>
        </r>
      </text>
    </comment>
    <comment ref="AP99" authorId="0" shapeId="0" xr:uid="{AC94753E-E8D1-401D-B3EB-16DDBA80272A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усл.экономия (т.к. Поствщик не явл.плательщиком НДС)</t>
        </r>
      </text>
    </comment>
    <comment ref="AP100" authorId="0" shapeId="0" xr:uid="{BD374183-29CC-458F-B005-7EB036569C7C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усл.экономия (т.к. Поствщик не явл.плательщиком НДС)</t>
        </r>
      </text>
    </comment>
    <comment ref="P107" authorId="0" shapeId="0" xr:uid="{27146265-37C1-4056-8BCB-D5E5746E0424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6860467000</t>
        </r>
      </text>
    </comment>
    <comment ref="S107" authorId="0" shapeId="0" xr:uid="{685B464E-8CA1-4B43-B5F8-8AB9CF2E564D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500</t>
        </r>
      </text>
    </comment>
    <comment ref="AC107" authorId="0" shapeId="0" xr:uid="{B69EA002-ECF0-428D-AA86-FE3AC5753E01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минус рекласс</t>
        </r>
      </text>
    </comment>
    <comment ref="N110" authorId="0" shapeId="0" xr:uid="{281BBADC-C4C1-4DB9-9EF9-14A09026B67B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798750000</t>
        </r>
      </text>
    </comment>
    <comment ref="AC113" authorId="0" shapeId="0" xr:uid="{4485DA61-4ADA-48E8-83BF-E14498A7E14C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минус дисконтирование</t>
        </r>
      </text>
    </comment>
    <comment ref="AL113" authorId="0" shapeId="0" xr:uid="{52A0570D-1170-41D1-ACA0-776D1C60C6EC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бухи добавили (разница между дисконтир.ст-тью и справедилвой ст-тью (81ед. За 2017г.))
цена дисконтир=13466,28113 тыс. тенге без НДС</t>
        </r>
      </text>
    </comment>
    <comment ref="BL113" authorId="0" shapeId="0" xr:uid="{1E1D12AD-9D3B-48CC-879B-41EB8B99CB07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1) </t>
        </r>
        <r>
          <rPr>
            <sz val="10"/>
            <color indexed="81"/>
            <rFont val="Tahoma"/>
            <family val="2"/>
            <charset val="204"/>
          </rPr>
          <t>разница между справедливой и дисконтированной стоимостью вагонов, принятых в декабре 2017года (81ед.) -
142 657т.т.
2) разница между дог. и дисконтир.ст-тью</t>
        </r>
      </text>
    </comment>
    <comment ref="AL114" authorId="0" shapeId="0" xr:uid="{28F0BCF3-E3D7-451A-A68F-AFF06B1EBAEC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БРК Лизинг оплатил 14.03.18</t>
        </r>
      </text>
    </comment>
    <comment ref="S116" authorId="1" shapeId="0" xr:uid="{54F57E9F-E090-42DD-9FAD-03EBD2B45D25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доп.согл.уменьшен объем 1000ед. до 500ед.</t>
        </r>
      </text>
    </comment>
    <comment ref="AV117" authorId="0" shapeId="0" xr:uid="{499A118E-EBFA-4056-ABC4-496C5D5215DF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предоплата (2579554т.т.) + 50%от ожид.год.поставки</t>
        </r>
      </text>
    </comment>
    <comment ref="BP118" authorId="0" shapeId="0" xr:uid="{9044BFFF-D17F-4E2E-83DA-CE084ED44639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удержано пени в рамках дог. №21-08/4-НПС от 21.08.2017г. (кол.пары)</t>
        </r>
      </text>
    </comment>
    <comment ref="AL124" authorId="0" shapeId="0" xr:uid="{F03C1033-C884-41D8-8613-1E0F40A44A2A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436
к.п. 0
ж/д тариф 0
запчасти 350</t>
        </r>
      </text>
    </comment>
    <comment ref="AL132" authorId="0" shapeId="0" xr:uid="{3ED3FF17-BDCE-4B85-94BF-87CAC31124C9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2717
к.п. 0
ж/д тариф 2
запчасти 273</t>
        </r>
      </text>
    </comment>
    <comment ref="AL135" authorId="0" shapeId="0" xr:uid="{EF39B202-1A09-45F5-A92F-BD41B56B8D20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584
к.п. 0
ж/д тариф 1
запчасти 114</t>
        </r>
      </text>
    </comment>
    <comment ref="AL140" authorId="1" shapeId="0" xr:uid="{8221B961-0DD1-4CA5-9FF3-42BE73019FB6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3264
запчасти 353</t>
        </r>
      </text>
    </comment>
    <comment ref="AL148" authorId="0" shapeId="0" xr:uid="{0CAC0442-6DD2-42B6-9832-FAB07A1BD3F1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83814т.т.
К.п. 3783т.т.
ж/д тариф 16 т.т.
Зап.части 10465т.т.</t>
        </r>
      </text>
    </comment>
    <comment ref="AL151" authorId="0" shapeId="0" xr:uid="{467B51DB-01A0-4A53-80B2-7F613BC08A7D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66803
к.п. 0
ж/д тариф 60
запчасти 20814</t>
        </r>
      </text>
    </comment>
    <comment ref="AL154" authorId="0" shapeId="0" xr:uid="{049FC376-7EBC-423B-AC28-EFBEE3F8B6C9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56573
к.п. 0
ж/д тариф 42
зап.части 310</t>
        </r>
      </text>
    </comment>
    <comment ref="AL157" authorId="0" shapeId="0" xr:uid="{4D4A2752-E9EC-44BE-BBF4-016C22073299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161983
к.п. 1613
ж/д тариф 15
запчасти 23425</t>
        </r>
      </text>
    </comment>
    <comment ref="AL160" authorId="0" shapeId="0" xr:uid="{D831D1E5-E598-42AC-A3B2-CAF70C88953E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93167+47265=140432
к.п. 3904+0=3904
ж/д тариф 38+18=56
з/ч 13996+11260=25256</t>
        </r>
      </text>
    </comment>
    <comment ref="AL163" authorId="0" shapeId="0" xr:uid="{51F2DF91-D95D-4953-9214-AEA51DA775A7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143404
к.п. 1903
ж/д тариф 0
запчисти 10136</t>
        </r>
      </text>
    </comment>
    <comment ref="AL166" authorId="1" shapeId="0" xr:uid="{CE8C6B6E-6475-400D-B573-AB64E0DAC4CD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3921
запчасти 440</t>
        </r>
      </text>
    </comment>
    <comment ref="AL174" authorId="0" shapeId="0" xr:uid="{95FCE92A-8CB7-4285-B3AB-D12C58A7A62E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15435
к.п. 0
ж/д тариф 3
запчасти 1030</t>
        </r>
      </text>
    </comment>
    <comment ref="AL176" authorId="1" shapeId="0" xr:uid="{E8193760-A5E3-48B9-90E0-0BE5488D3E5C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оплату убрала универсальных</t>
        </r>
      </text>
    </comment>
    <comment ref="AL177" authorId="0" shapeId="0" xr:uid="{35361E12-6A38-4C18-84A5-E2BE9293824C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8628
к.п. 0
ж/д тариф 4
запчасти 3430</t>
        </r>
      </text>
    </comment>
    <comment ref="AL180" authorId="0" shapeId="0" xr:uid="{96E4BD97-259B-4F04-8213-AAD8C6E95329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1768
к.п. 0
ж/д тариф 1
запчасти 0</t>
        </r>
      </text>
    </comment>
    <comment ref="AL183" authorId="0" shapeId="0" xr:uid="{70816501-4E12-49EE-82C9-68B9083534E1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26250
к.п. 0
ж/д тариф 3
запчасти 2332</t>
        </r>
      </text>
    </comment>
    <comment ref="AL186" authorId="0" shapeId="0" xr:uid="{BB3D0AFF-4C72-45AC-B35E-B94B897E8F40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1052+20170=21222
к.п. 0
ж/д тариф 0
запчасти 242+6769=7011</t>
        </r>
      </text>
    </comment>
    <comment ref="AL189" authorId="0" shapeId="0" xr:uid="{4367FFD4-F3DF-4B87-B243-CF89DD180C65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4466
к.п. 769
ж/д тариф 0
запчасти 129</t>
        </r>
      </text>
    </comment>
    <comment ref="AL194" authorId="0" shapeId="0" xr:uid="{2F1580E5-5A92-4C8A-8A58-0749B04F52DF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84411т.т.
Кол.пары 606т.т.
ж/д тариф 9т.т.
Зап.части 3591 т.т.</t>
        </r>
      </text>
    </comment>
    <comment ref="AL197" authorId="0" shapeId="0" xr:uid="{4641D3DF-E003-4F25-94B5-E72163991A16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42772 т.т.
К.п. 0 т.т.
ж/д тариф 29 т.т.
Зап.части 15249т.т.</t>
        </r>
      </text>
    </comment>
    <comment ref="AL200" authorId="0" shapeId="0" xr:uid="{766F963F-67E5-4220-A0E1-18DC4A0D2C88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40275 т.т.
К.п. 0 т.т.
ж/д тариф 31 т.т.
Зап.части 60 т.т.</t>
        </r>
      </text>
    </comment>
    <comment ref="AL203" authorId="0" shapeId="0" xr:uid="{2D289F80-A24D-4BD4-AC62-289FC405EA15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156419
к.п. 18833
ж/д тариф 2
запчасти 19764</t>
        </r>
      </text>
    </comment>
    <comment ref="AL206" authorId="0" shapeId="0" xr:uid="{F267C215-37B0-46BB-8F97-C254214B4C66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55083+33111=88194
к.п. 710+0=710
ж/д тариф 0
запчасти 10887+5720=16607</t>
        </r>
      </text>
    </comment>
    <comment ref="AL209" authorId="0" shapeId="0" xr:uid="{2C2E7D5B-238A-457C-B617-B472CE000994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97312
к.п. 1977
ж/д тариф 6
запчасти 7175</t>
        </r>
      </text>
    </comment>
    <comment ref="AL212" authorId="0" shapeId="0" xr:uid="{49E73A6A-9D8C-4807-AAE3-F0A5376AD6C7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73154
к.п. 0
ж/д тариф 11
зап.части 3268</t>
        </r>
      </text>
    </comment>
    <comment ref="AL217" authorId="0" shapeId="0" xr:uid="{FF302AB5-EFC2-43A1-BBA7-020FF665FF76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54185т.т.
К.п. 0 т.т.
ж/д тариф 1035 т.т.
Запчасти 5619т.т.</t>
        </r>
      </text>
    </comment>
    <comment ref="AL220" authorId="0" shapeId="0" xr:uid="{5A8188E8-0665-4053-A703-878F1FC433D9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1888т.т.
К.п. 0 т.т.
ж/д тариф 2 т.т.</t>
        </r>
      </text>
    </comment>
    <comment ref="AL223" authorId="0" shapeId="0" xr:uid="{0E9B85D4-D00A-49C3-8A17-5CF93CE5F1A2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130576
к.п. 3301
ж/д тариф 0
з/ч 7583</t>
        </r>
      </text>
    </comment>
    <comment ref="AL226" authorId="1" shapeId="0" xr:uid="{1C7A9677-1CBF-4EF6-B44B-DB1AC2EF1BF1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2506
зап.части 346</t>
        </r>
      </text>
    </comment>
    <comment ref="AL229" authorId="0" shapeId="0" xr:uid="{F5FB7E81-06CC-4D0D-855D-A030C3F2657D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5311
к.п. 384
ж/д тариф 0
зап.части 207</t>
        </r>
      </text>
    </comment>
    <comment ref="AL232" authorId="1" shapeId="0" xr:uid="{819E501A-C855-4541-B09F-EFFC34073DA6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6966
зап.части 561</t>
        </r>
      </text>
    </comment>
    <comment ref="AC237" authorId="0" shapeId="0" xr:uid="{FFF3EB0B-907F-4496-AE3E-BC06B69F5251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в т.ч.кол.пары - 295186
ж/д тариф - 1374
зап.части с разделки - 6903</t>
        </r>
      </text>
    </comment>
    <comment ref="AC240" authorId="0" shapeId="0" xr:uid="{D6F8585B-9FC9-4F49-A72C-BF752B6CF9CC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в т.ч.кол.пары - 88253
зап.части с разделки - 15
ж/д тариф - 367</t>
        </r>
      </text>
    </comment>
    <comment ref="AC243" authorId="0" shapeId="0" xr:uid="{256D5558-C3D7-48CF-8A0C-C8D2156CB92F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в т.ч.кол.пары - 192552
зап.части с разделки - 45
ж/д тариф - 842</t>
        </r>
      </text>
    </comment>
    <comment ref="AC246" authorId="0" shapeId="0" xr:uid="{1500B651-1B9D-4C1F-8B00-2FF8EC1531B9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в т.ч.кол.пары - 386012
ж/д тариф - 1796
зап.части - 9027</t>
        </r>
      </text>
    </comment>
    <comment ref="AC249" authorId="0" shapeId="0" xr:uid="{7AAB350E-12D5-42FB-9F06-5337432E9149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в т.ч.кол.пары - 280805
ж/д тариф - 1166
зап.части - 57</t>
        </r>
      </text>
    </comment>
    <comment ref="AC250" authorId="0" shapeId="0" xr:uid="{4C553093-D04F-4458-A9C8-8615A3EBDAE2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2521,89807 штраф за невып-е плана по ремонту</t>
        </r>
      </text>
    </comment>
    <comment ref="AD250" authorId="0" shapeId="0" xr:uid="{B784DDF8-189F-449F-8A5A-C8ADB000B151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2521,89807 штраф за невып-е плана по ремонту</t>
        </r>
      </text>
    </comment>
    <comment ref="AC252" authorId="0" shapeId="0" xr:uid="{E057EB33-C4E0-4355-98A3-F8E18F022876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в т.ч. Кол.пары - 84242
ж/д тариф - 350
зап.части - 24</t>
        </r>
      </text>
    </comment>
    <comment ref="AC255" authorId="0" shapeId="0" xr:uid="{F6E40119-035E-4DF9-8625-C6A8C54A4F96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в т.ч. ж/д тариф - 131
зап.части - 16</t>
        </r>
      </text>
    </comment>
    <comment ref="AC258" authorId="0" shapeId="0" xr:uid="{88977EFF-AA9C-4D09-8AA7-58B645740C21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в т.ч. Кол.пары - 7114
ж/д тариф - 26
зап.части - 5</t>
        </r>
      </text>
    </comment>
    <comment ref="AC261" authorId="0" shapeId="0" xr:uid="{E1392A9D-15AE-4600-A7F3-55790F72DF55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в т.ч. Кол.пары - 7716
ж/д тариф - 26
зап.части - 11</t>
        </r>
      </text>
    </comment>
    <comment ref="AC264" authorId="0" shapeId="0" xr:uid="{454EDA2E-7F2E-45DE-A6AB-8B658067CD23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в т.ч. Кол.пары - 10115
ж/д тариф - 12
зап.части - 26</t>
        </r>
      </text>
    </comment>
    <comment ref="AC267" authorId="0" shapeId="0" xr:uid="{BF14B6C8-57C4-41EE-A34A-145572FFFAA1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в т.ч. Кол.пары - 31316
ж/д тариф - 131</t>
        </r>
      </text>
    </comment>
    <comment ref="AC270" authorId="0" shapeId="0" xr:uid="{FA164597-B890-4543-9ECF-E911C8D5223A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в т.ч. Кол.пары - 36405
ж/д тариф - 131</t>
        </r>
      </text>
    </comment>
    <comment ref="AC273" authorId="0" shapeId="0" xr:uid="{558A15C5-8B15-4619-867A-F397B45BB3D4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кол.пары - 294444
ж/д тариф - 1223
зап.части - 84</t>
        </r>
      </text>
    </comment>
    <comment ref="AC276" authorId="0" shapeId="0" xr:uid="{28B31329-D57E-4D9E-8F79-1A0F46C97568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в т.ч.
ж/д тариф - 266
зап.части - 33</t>
        </r>
      </text>
    </comment>
    <comment ref="AC279" authorId="0" shapeId="0" xr:uid="{EA0078E2-F2AC-4A70-A4F3-89DB6F5725BE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кол-пары - 15118
ж/д тариф - 54
зап.части - 10</t>
        </r>
      </text>
    </comment>
    <comment ref="AC282" authorId="0" shapeId="0" xr:uid="{F91E2014-415A-4C79-A409-62DF32E15742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кол.пары - 16397
ж/д тариф - 54
зап.части - 23</t>
        </r>
      </text>
    </comment>
    <comment ref="AC285" authorId="0" shapeId="0" xr:uid="{6E61F277-6464-4072-AA2C-2C6F026197E6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кол.пары - 21494
ж/д тариф - 25
зап.части - 54</t>
        </r>
      </text>
    </comment>
    <comment ref="AC288" authorId="0" shapeId="0" xr:uid="{9E1198F8-8745-4CBA-B4FA-682AF2A35D82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кол.пары - 64160
ж/д тариф - 269</t>
        </r>
      </text>
    </comment>
    <comment ref="AC291" authorId="0" shapeId="0" xr:uid="{6094AF8B-C153-4295-B66C-5A96CEF2189D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кол.пары - 73698
ж/д тариф - 266</t>
        </r>
      </text>
    </comment>
    <comment ref="AC294" authorId="0" shapeId="0" xr:uid="{CA6326CA-71A4-44A5-B79E-6CE96929DC46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в т.ч. Кол.пары - 36336
ж/д тариф - 169
зап.части - 850</t>
        </r>
      </text>
    </comment>
    <comment ref="AL297" authorId="0" shapeId="0" xr:uid="{C10F2D3A-1310-4BA3-B9BF-47FAC386616F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в т.ч. 
ОРУ 729403 т.т.
кол.пары 138191т.т.
ж/д тариф 1707т.т.
зап.части 198т.т</t>
        </r>
      </text>
    </comment>
    <comment ref="BO299" authorId="0" shapeId="0" xr:uid="{49689B7D-E788-4AD8-8EED-DEBF626E281E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удержано за ТОР</t>
        </r>
      </text>
    </comment>
    <comment ref="BP299" authorId="0" shapeId="0" xr:uid="{FEB20F45-5416-4C87-9EEF-42D22D13843A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удержана предоплата по дог.№28-02/4-НПФ от 28.02.18 (реализ. Лома и отходов чер.и цвет.металлов)</t>
        </r>
      </text>
    </comment>
    <comment ref="BQ299" authorId="0" shapeId="0" xr:uid="{81B16B46-D1C3-458C-AFDC-AF94F81B2A7E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возмещение расходов за повреждение вагона</t>
        </r>
      </text>
    </comment>
    <comment ref="AL300" authorId="0" shapeId="0" xr:uid="{96598F8F-BD17-426A-B882-029D3BF2373A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в т.ч. 
ОРУ 484971т.т.
кол.пары 96197т.т.
ж/д тариф 982т.т.
зап.части 2т.т.</t>
        </r>
      </text>
    </comment>
    <comment ref="AL303" authorId="0" shapeId="0" xr:uid="{BC433B3D-DA32-423C-9992-F532879932CB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в тч. 
ОРУ 221106т.т.
кол.пары 103564т.т.
ж/д тариф 651т.т.
зап.части 0т.т.</t>
        </r>
      </text>
    </comment>
    <comment ref="AL306" authorId="0" shapeId="0" xr:uid="{5E87E511-6043-4028-BE97-FBED15135D74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в т.ч.
ОРУ 452267т.т.
кол.пары 128177т.т.
ж/д тариф 1005т.т.
зап.части 298т.т.</t>
        </r>
      </text>
    </comment>
    <comment ref="AL309" authorId="0" shapeId="0" xr:uid="{F5CC0284-6068-48E8-BB43-70474037B537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в т.ч.
ОРУ 2965716
кол.пары 1442747
ж/д тариф 5525
зап.части 220329</t>
        </r>
      </text>
    </comment>
    <comment ref="BO311" authorId="0" shapeId="0" xr:uid="{66C05300-28E6-463D-91ED-6B340BE20213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пеня за простой</t>
        </r>
      </text>
    </comment>
    <comment ref="AL312" authorId="0" shapeId="0" xr:uid="{0D4B44B6-CA38-48D7-A7A4-A88F4DE297B3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161212
кол.пары 69138
ж/д тариф 206
зап.части 15100</t>
        </r>
      </text>
    </comment>
    <comment ref="AL315" authorId="0" shapeId="0" xr:uid="{8CD72633-BA1F-42B8-A007-73E4CB6F26BF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665437
кол.пары 343096
ж/д тариф 1224
зап.части 73183</t>
        </r>
      </text>
    </comment>
    <comment ref="AL318" authorId="0" shapeId="0" xr:uid="{71A9FE4C-5109-4F64-84C9-EF5E6853CE2E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245953
кол.пары 72642
ж/д тариф 336
зап.части 29355</t>
        </r>
      </text>
    </comment>
    <comment ref="AL321" authorId="0" shapeId="0" xr:uid="{0CB4DFC3-412B-4878-9A5D-18678CB482FB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292406
к.п. 90451
ж/д тариф 670
запчасти 55999</t>
        </r>
      </text>
    </comment>
    <comment ref="AL324" authorId="0" shapeId="0" xr:uid="{CBAF6281-CAD7-4D01-B831-BAC633526060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ОРУ 136087
к.п. 75441
ж/д тариф 299
запчасти 61709</t>
        </r>
      </text>
    </comment>
    <comment ref="K327" authorId="0" shapeId="0" xr:uid="{D773685B-F85A-4405-B348-CD8E292D34D8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кол.пары</t>
        </r>
      </text>
    </comment>
    <comment ref="P327" authorId="0" shapeId="0" xr:uid="{E86D4A28-E9C5-449F-AD1F-C0848319812B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курс на 24.05.18 = 5,29</t>
        </r>
      </text>
    </comment>
    <comment ref="AL329" authorId="1" shapeId="0" xr:uid="{7EB9A116-C6FB-4795-BEEE-30F2168FF322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разница из-за курсовой (дог.в руб.)</t>
        </r>
      </text>
    </comment>
    <comment ref="AL353" authorId="0" shapeId="0" xr:uid="{D4E4F12F-B04D-4403-B094-BBCB8BFB8A29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в соответствии с протоколом от 21.06.18г. №86 данные расходы не могут быть признаны активом, соответственно отражены как непроизводительные общехозяйственные расходы (ст0275 в ВФО-25)</t>
        </r>
      </text>
    </comment>
    <comment ref="AL355" authorId="0" shapeId="0" xr:uid="{1B097A5A-A30B-4D52-86A9-368486148E1B}">
      <text>
        <r>
          <rPr>
            <b/>
            <sz val="8"/>
            <color indexed="81"/>
            <rFont val="Tahoma"/>
            <family val="2"/>
            <charset val="204"/>
          </rPr>
          <t>kuzetova_a:</t>
        </r>
        <r>
          <rPr>
            <sz val="8"/>
            <color indexed="81"/>
            <rFont val="Tahoma"/>
            <family val="2"/>
            <charset val="204"/>
          </rPr>
          <t xml:space="preserve">
в соответствии с протоколом от 21.06.18г. №86 данные расходы не могут быть признаны активом, соответственно отражены как непроизводительные общехозяйственные расходы (ст0275 в ВФО-25)</t>
        </r>
      </text>
    </comment>
  </commentList>
</comments>
</file>

<file path=xl/sharedStrings.xml><?xml version="1.0" encoding="utf-8"?>
<sst xmlns="http://schemas.openxmlformats.org/spreadsheetml/2006/main" count="1217" uniqueCount="233">
  <si>
    <t>Т. Мусин</t>
  </si>
  <si>
    <t xml:space="preserve">Директор Департамента экономики и финансов </t>
  </si>
  <si>
    <t>* план одобрен решением Бюджетного комитета АО "НК "ҚТЖ" от 15.06.2018г. (протокол № 7), утвержден решением Правления АО "НК "ҚТЖ" от 14.08.2018г. (протокол № 02/29), утвержден СД АО "ҚТТ" от 28.12.2018г. (протокол № 18)</t>
  </si>
  <si>
    <t>Б. Рахматуллина</t>
  </si>
  <si>
    <t>И.о. Зам.Генерального директора по финансам</t>
  </si>
  <si>
    <t>собственные</t>
  </si>
  <si>
    <t>финансирование</t>
  </si>
  <si>
    <t>г. Экибастуз</t>
  </si>
  <si>
    <t>всего</t>
  </si>
  <si>
    <t>освоение</t>
  </si>
  <si>
    <t>Приобретение компьютерной и печатной техники</t>
  </si>
  <si>
    <t>Целевая программа "Улучшение административных и социально-бытовых условий труда работников"</t>
  </si>
  <si>
    <t>до полного исполнения</t>
  </si>
  <si>
    <t>тенге</t>
  </si>
  <si>
    <t>№ОПС-143 от 30.05.2017</t>
  </si>
  <si>
    <t xml:space="preserve">ТОО «КазЦСЖТ» </t>
  </si>
  <si>
    <t>№ОПС-130 от 18.01.2017
доп.согл.№1 от 07.08.2017</t>
  </si>
  <si>
    <t>№ОПС-129 от 18.01.2017
доп.согл.№2 от 13.09.2017</t>
  </si>
  <si>
    <t>№25 от 12.12.2016</t>
  </si>
  <si>
    <t>№01/11-16 от 02.11.2016</t>
  </si>
  <si>
    <t xml:space="preserve">ТОО «ПремиумВагонКомплект» </t>
  </si>
  <si>
    <t>№08/11-16 от 02.11.2016</t>
  </si>
  <si>
    <t xml:space="preserve">ТОО «ВагонМашСтрой» </t>
  </si>
  <si>
    <t>Экибастуз</t>
  </si>
  <si>
    <t>Постановка на производство новых типов/моделей грузовых вагонов и тележки грузовых вагонов по технической документации, приобретаемой по лицензионному договору с целью расширения производства грузовых вагонов и поддержания в рабочем состоянии производственных активов</t>
  </si>
  <si>
    <t>Целевая программа "Обновление и реабилитация инфраструктуры"</t>
  </si>
  <si>
    <t>всего, в т.ч.</t>
  </si>
  <si>
    <t>ТОО "КВК"</t>
  </si>
  <si>
    <t>до подведения итогов ОТ</t>
  </si>
  <si>
    <t>рубль</t>
  </si>
  <si>
    <t>№28-05/1-НПС от 28.05.18г.</t>
  </si>
  <si>
    <t>ООО "Неро"</t>
  </si>
  <si>
    <t>до 31.12.18г</t>
  </si>
  <si>
    <t>№12-07/4-НПС от 12.07.18г.</t>
  </si>
  <si>
    <t>ТОО "Astana Railway Services"</t>
  </si>
  <si>
    <t>№31-07/3-НПС от 31.07.18г.</t>
  </si>
  <si>
    <t>№31-07/2-НПС от 31.07.18г.</t>
  </si>
  <si>
    <t>ТОО "Богатырь Транс"</t>
  </si>
  <si>
    <t>31.12.18г</t>
  </si>
  <si>
    <t>№31-07/1-НПС от 31.07.18г.</t>
  </si>
  <si>
    <t>АО "АВРЗ"</t>
  </si>
  <si>
    <t>№12-07/1-НПС от 12.07.18г.</t>
  </si>
  <si>
    <t>ТОО "Шымкент Рем Сервис"</t>
  </si>
  <si>
    <t>№25-09/5-НПС от 25.09.14г.
доп.согл №04-12/3-НПС от 04.12.17г.
доп.согл №29-12/9-НПС от 29.12.17г.</t>
  </si>
  <si>
    <t>ТОО "Камкор Вагон"</t>
  </si>
  <si>
    <t>30.06.18г</t>
  </si>
  <si>
    <t>№29-12/8-НПС от 29.12.17г.</t>
  </si>
  <si>
    <t>ТОО "ЖамбылРемСервис"</t>
  </si>
  <si>
    <t>№29-12/6-НПС от 29.12.17г.</t>
  </si>
  <si>
    <t>№29-12/7-НПС от 29.12.17г.</t>
  </si>
  <si>
    <t>ТОО "Вагоноремонтное депо "Бурабай"</t>
  </si>
  <si>
    <t>№29-12/5-НПС от 29.12.17г.</t>
  </si>
  <si>
    <t>Работы по капитальному ремонту грузовых вагонов (КР) 3390ед.</t>
  </si>
  <si>
    <t>31.12.17г</t>
  </si>
  <si>
    <t>№25-09/5 от 25.09.2014г.
доп.сог. №04-12/3-НПС от 04.12.2017г.</t>
  </si>
  <si>
    <t>ТОО "Қамқор вагон"</t>
  </si>
  <si>
    <t>№04-12/2-НПФ от 04.12.2017г.</t>
  </si>
  <si>
    <t>№22-11/1-НПС от 22.11.2017г.</t>
  </si>
  <si>
    <t>ТОО "ШымкентРемСервис"</t>
  </si>
  <si>
    <t>№04-12/5-НПФ от 04.12.2017г.</t>
  </si>
  <si>
    <t>№04-12/3-НПФ от 04.12.2017г.</t>
  </si>
  <si>
    <t>№04-12/4-НПФ от 04.12.2017г.</t>
  </si>
  <si>
    <t>ПК "Аждар и К"</t>
  </si>
  <si>
    <t>№04-12/1-НПФ от 04.12.2017г.</t>
  </si>
  <si>
    <t>ПК "Ибраев и К"</t>
  </si>
  <si>
    <t>№04-12/6-НПФ от 04.12.2017г.</t>
  </si>
  <si>
    <t>№18-10/7-НПС от 18.10.2017г.</t>
  </si>
  <si>
    <t>№18-10/6-НПС от 18.10.2017г.</t>
  </si>
  <si>
    <t>№18-10/5-НПС от 18.10.2017г.</t>
  </si>
  <si>
    <t>№18-10/3-НПС от 18.10.2017г.</t>
  </si>
  <si>
    <t>№18-10/4-НПС от 18.10.2017г.</t>
  </si>
  <si>
    <t>№18-10/2-НПС от 18.10.2017г.</t>
  </si>
  <si>
    <t>№18-10/8-НПС от 18.10.2017г.</t>
  </si>
  <si>
    <t>Работы по капитальному ремонту грузовых вагонов (КР) (в количестве 1 000 ед. полувагонов)</t>
  </si>
  <si>
    <t>№29-05/1-НПС от 29.05.2017г.
доп.согл.№04-08/2-НПС от 04.08.2017г.</t>
  </si>
  <si>
    <t>№25-09/5-НПС от 25.09.2014г. от 25.09.2014г.
доп.согл №04-08/1-НПС от 04.08.2017г.</t>
  </si>
  <si>
    <t>Работы по капитальному ремонту грузовых вагонов (КР) (в количестве 1 200 ед. полувагонов)</t>
  </si>
  <si>
    <t>31.12.2017г</t>
  </si>
  <si>
    <t>№29-05/1-НПС от 29.05.2017г.</t>
  </si>
  <si>
    <t>№13-04/1-НПС от 13.04.2017г.</t>
  </si>
  <si>
    <t>ТОО "Камкор-Вагон</t>
  </si>
  <si>
    <t>Работы по капитальному ремонту грузовых вагонов (КР) в количестве 1000 ед.</t>
  </si>
  <si>
    <t>РК</t>
  </si>
  <si>
    <t xml:space="preserve">Всего КР </t>
  </si>
  <si>
    <t>№06-12/1-НПС от 06.12.18г.</t>
  </si>
  <si>
    <t>до 31.08.18г</t>
  </si>
  <si>
    <t>№23-07/2-НПС от 23.07.18г.</t>
  </si>
  <si>
    <t>до 31.10.18г</t>
  </si>
  <si>
    <t>№31-07/8-НПС от 31.07.18г.</t>
  </si>
  <si>
    <t>№23-07/1-НПС от 23.07.18г.</t>
  </si>
  <si>
    <t>№27-04/1-НПС от 27.04.18г.</t>
  </si>
  <si>
    <t>до подведения итогов ОТ, объявл.на 14.05.18г</t>
  </si>
  <si>
    <t>№27-04/2-НПС от 27.04.18г.</t>
  </si>
  <si>
    <t>Всего по платформам универсальным</t>
  </si>
  <si>
    <r>
      <t xml:space="preserve">Работы по деповскому ремонту грузовых вагонов по техническому решению с продлением срока полезного использования (ДР по ТР) - </t>
    </r>
    <r>
      <rPr>
        <sz val="10"/>
        <color rgb="FFFF0000"/>
        <rFont val="Times New Roman"/>
        <family val="1"/>
        <charset val="204"/>
      </rPr>
      <t>(платформ универсальных - 205ед.)</t>
    </r>
  </si>
  <si>
    <t>№31-07/7-НПС от 31.07.18г.</t>
  </si>
  <si>
    <t>№03-05/1-НПС от 03.05.18г.</t>
  </si>
  <si>
    <t>Всего по крытым</t>
  </si>
  <si>
    <r>
      <t xml:space="preserve">Работы по деповскому ремонту грузовых вагонов по техническому решению с продлением срока полезного использования (ДР по ТР) - </t>
    </r>
    <r>
      <rPr>
        <sz val="10"/>
        <color rgb="FFFF0000"/>
        <rFont val="Times New Roman"/>
        <family val="1"/>
        <charset val="204"/>
      </rPr>
      <t>(крытые - 613ед.)</t>
    </r>
  </si>
  <si>
    <t>Всего по платформ для крупнотоннажных контейнеров</t>
  </si>
  <si>
    <r>
      <t xml:space="preserve">Работы по деповскому ремонту грузовых вагонов по техническому решению с продлением срока полезного использования (ДР по ТР) - </t>
    </r>
    <r>
      <rPr>
        <sz val="10"/>
        <color rgb="FFFF0000"/>
        <rFont val="Times New Roman"/>
        <family val="1"/>
        <charset val="204"/>
      </rPr>
      <t>(платформа для крупнотоннажных контейнеров - 118ед.)</t>
    </r>
  </si>
  <si>
    <t>до 30.09.18г</t>
  </si>
  <si>
    <t>Всего по вагонам-хопперам крытым для зерна</t>
  </si>
  <si>
    <r>
      <t xml:space="preserve">Работы по деповскому ремонту грузовых вагонов по техническому решению с продлением срока полезного использования (ДР по ТР) – </t>
    </r>
    <r>
      <rPr>
        <sz val="10"/>
        <color rgb="FFFF0000"/>
        <rFont val="Times New Roman"/>
        <family val="1"/>
        <charset val="204"/>
      </rPr>
      <t>(вагон-хопперов крытых для зерна - 953ед.)</t>
    </r>
  </si>
  <si>
    <t>Всего по хопперам для цемента</t>
  </si>
  <si>
    <r>
      <t xml:space="preserve">Работы по деповскому ремонту грузовых вагонов по техническому решению с продлением срока полезного использования (ДР по ТР) - </t>
    </r>
    <r>
      <rPr>
        <sz val="10"/>
        <color rgb="FFFF0000"/>
        <rFont val="Times New Roman"/>
        <family val="1"/>
        <charset val="204"/>
      </rPr>
      <t>(хоппер для цемента - 5ед.)</t>
    </r>
  </si>
  <si>
    <t>Всего по платформам для перевозки кол.пар</t>
  </si>
  <si>
    <r>
      <t xml:space="preserve">Работы по деповскому ремонту грузовых вагонов по техническому решению с продлением срока полезного использования (ДР по ТР) - </t>
    </r>
    <r>
      <rPr>
        <sz val="10"/>
        <color rgb="FFFF0000"/>
        <rFont val="Times New Roman"/>
        <family val="1"/>
        <charset val="204"/>
      </rPr>
      <t>(платформ для перевозки колесных пар - 5ед.)</t>
    </r>
  </si>
  <si>
    <t>Всего по цистернам  для пищевых продуктов</t>
  </si>
  <si>
    <r>
      <t xml:space="preserve">Работы по деповскому ремонту грузовых вагонов по техническому решению с продлением срока полезного использования (ДР по ТР) - </t>
    </r>
    <r>
      <rPr>
        <sz val="10"/>
        <color rgb="FFFF0000"/>
        <rFont val="Times New Roman"/>
        <family val="1"/>
        <charset val="204"/>
      </rPr>
      <t>(цистерна для пищевых продуктов, используемых для перевозки питьевой воды - 1ед.)</t>
    </r>
  </si>
  <si>
    <t>Целевая программа "Капитальный ремонт грузовых вагонов"</t>
  </si>
  <si>
    <t>г. Петропавловск</t>
  </si>
  <si>
    <t>№29-12/10-НПС от 29.12.17г.
Доп.согл. №30-11/5-НПС от 30.11.18г.</t>
  </si>
  <si>
    <t>АО "ЗИКСТО"</t>
  </si>
  <si>
    <t>Приобретение полувагонов</t>
  </si>
  <si>
    <t>заемные</t>
  </si>
  <si>
    <t>№96/87/1-КП/31-08/3 НПЭФ от 31.08.2017г.</t>
  </si>
  <si>
    <t>ст. Экибастуз</t>
  </si>
  <si>
    <t>до 31.12.2015г.</t>
  </si>
  <si>
    <t>№1-10/1-НПС  от 1.10.2015г.</t>
  </si>
  <si>
    <t>до 20.12.14г</t>
  </si>
  <si>
    <t>№28-05/3-НПС от  28.05.2014г.</t>
  </si>
  <si>
    <t>Целевая программа "Приобретение  грузовых вагонов"</t>
  </si>
  <si>
    <t xml:space="preserve">Кредиторская задолженность </t>
  </si>
  <si>
    <t>г. Астана</t>
  </si>
  <si>
    <t>до 31.03.18г</t>
  </si>
  <si>
    <t>№13-02/1-НПС от 13.02.18г.</t>
  </si>
  <si>
    <t>ИП Линкевич А.Л.</t>
  </si>
  <si>
    <t>Приобретение цифровой фотокамеры в комплекте</t>
  </si>
  <si>
    <t>г. Павлодар</t>
  </si>
  <si>
    <t>ТОО "ТПК АЛНА"</t>
  </si>
  <si>
    <t>№15-10/24-НПФ-3 от 15.10.18г.</t>
  </si>
  <si>
    <t>г. Кокшетау</t>
  </si>
  <si>
    <t>до 31.05.18г</t>
  </si>
  <si>
    <t>№05-03/01-НПФ-1 от 05.03.18г.</t>
  </si>
  <si>
    <t>ИП ТЕХНО-Центр</t>
  </si>
  <si>
    <t>г. Семей</t>
  </si>
  <si>
    <t>№26-02/1-НПФ-6 от 26.02.18г.</t>
  </si>
  <si>
    <t>АО Technodom Operator</t>
  </si>
  <si>
    <t>г. Караганды</t>
  </si>
  <si>
    <t>№20-02/03-НПФ-4 от 20.02.18г.</t>
  </si>
  <si>
    <t>ИП Жетписова Ж.Д.</t>
  </si>
  <si>
    <t>Приобретение товаров</t>
  </si>
  <si>
    <t>г. Актобе</t>
  </si>
  <si>
    <t>НПФ-11</t>
  </si>
  <si>
    <t>НПФ-3</t>
  </si>
  <si>
    <t>г. Шымкент</t>
  </si>
  <si>
    <t>НПФ-9</t>
  </si>
  <si>
    <t>НПФ-1</t>
  </si>
  <si>
    <t>г. Алматы</t>
  </si>
  <si>
    <t>НПФ-7</t>
  </si>
  <si>
    <t>НПФ-6</t>
  </si>
  <si>
    <t>г. Костанай</t>
  </si>
  <si>
    <t>НПФ-2</t>
  </si>
  <si>
    <t>Астана</t>
  </si>
  <si>
    <t>г. Астана, Семей, Костанай, Актобе, Алматы, Кокшетау, Шымкент, Павлодар</t>
  </si>
  <si>
    <t>№05-09/1-НПТех от 05.09.18г.</t>
  </si>
  <si>
    <t>ТОО TECHNOFORCE</t>
  </si>
  <si>
    <t>г. Астана, Семей, Костанай, Алматы</t>
  </si>
  <si>
    <t>№20-09/1-НПТех от 20.09.18г.</t>
  </si>
  <si>
    <t>АО Логиком</t>
  </si>
  <si>
    <t>Приобретение необъектного оборудования</t>
  </si>
  <si>
    <t>Обновление и реабилитация инфраструктуры</t>
  </si>
  <si>
    <t>АО "Қазтеміртранс"</t>
  </si>
  <si>
    <t>АО "Қазтеміртранс" (группа)</t>
  </si>
  <si>
    <t>(-/+)</t>
  </si>
  <si>
    <t>(-)</t>
  </si>
  <si>
    <t>(+)</t>
  </si>
  <si>
    <t xml:space="preserve"> (-)</t>
  </si>
  <si>
    <t>с НДС</t>
  </si>
  <si>
    <t>без НДС</t>
  </si>
  <si>
    <t>кол-во</t>
  </si>
  <si>
    <t>сумма</t>
  </si>
  <si>
    <t>предоплата за будущие работы</t>
  </si>
  <si>
    <t>оплата за выполненные работы в отчетном периоде</t>
  </si>
  <si>
    <t>оплата за выполненные работы до отчетного периода</t>
  </si>
  <si>
    <t>% к плану</t>
  </si>
  <si>
    <t>в тенге</t>
  </si>
  <si>
    <t>в валюте договора</t>
  </si>
  <si>
    <t>Наименование должности</t>
  </si>
  <si>
    <t>Фамилия, инициалы</t>
  </si>
  <si>
    <t>Принимаемые меры к подрядчикам, выполняющим договорные обязательства ненадлежащим образом</t>
  </si>
  <si>
    <r>
      <t>Сумма удержаний</t>
    </r>
    <r>
      <rPr>
        <i/>
        <sz val="10"/>
        <rFont val="Times New Roman"/>
        <family val="1"/>
        <charset val="204"/>
      </rPr>
      <t xml:space="preserve"> (по банковским гарантиям и/или внесенным на расчетный счет АО "НК "КТЖ" обеспечениям)</t>
    </r>
    <r>
      <rPr>
        <b/>
        <sz val="10"/>
        <rFont val="Times New Roman"/>
        <family val="1"/>
        <charset val="204"/>
      </rPr>
      <t xml:space="preserve"> за неисполнение договорных обязательств подрядчиком и по др. основаниям</t>
    </r>
  </si>
  <si>
    <t>Сумма взысканных штрафов, пени и пр. за неисполнение договорных обязательств подрядчиком и по др. основаниям</t>
  </si>
  <si>
    <r>
      <t xml:space="preserve">НОД, НЖС </t>
    </r>
    <r>
      <rPr>
        <i/>
        <sz val="10"/>
        <rFont val="Times New Roman"/>
        <family val="1"/>
        <charset val="204"/>
      </rPr>
      <t>(с указанеим станции)</t>
    </r>
  </si>
  <si>
    <r>
      <t xml:space="preserve">область </t>
    </r>
    <r>
      <rPr>
        <i/>
        <sz val="10"/>
        <rFont val="Times New Roman"/>
        <family val="1"/>
        <charset val="204"/>
      </rPr>
      <t>(город Республиканского значения)</t>
    </r>
  </si>
  <si>
    <r>
      <t xml:space="preserve">другие причины </t>
    </r>
    <r>
      <rPr>
        <i/>
        <sz val="10"/>
        <rFont val="Times New Roman"/>
        <family val="1"/>
        <charset val="204"/>
      </rPr>
      <t>(расписать при наличии)</t>
    </r>
  </si>
  <si>
    <t>форс-мажор, подтвержденный заключением уполномоченного органа</t>
  </si>
  <si>
    <t>задержка получения заемных средств, средств РБ и др.</t>
  </si>
  <si>
    <t>утрата производственной необходимости</t>
  </si>
  <si>
    <t>исполнение вне плана</t>
  </si>
  <si>
    <t>перевыполнение сверх сметной стоимости</t>
  </si>
  <si>
    <t>перевыполнение в пределах сметной стоимости</t>
  </si>
  <si>
    <t>расторжение договора по инициативе Подрядчика</t>
  </si>
  <si>
    <t>расторжение договора по инициативе Заказчика</t>
  </si>
  <si>
    <t>ненадлежащее исполнение договорных обязательтсв подрядчиком</t>
  </si>
  <si>
    <t>договора не заключены</t>
  </si>
  <si>
    <t>задержка получения заключения госэкспертизы, разрешения на производство СМР</t>
  </si>
  <si>
    <t>условная экономия по итогам тендерных процедур</t>
  </si>
  <si>
    <t>позднее проведение процедур закупок, позднее закл.договоров</t>
  </si>
  <si>
    <t>отклонения</t>
  </si>
  <si>
    <t>факт</t>
  </si>
  <si>
    <t>план*</t>
  </si>
  <si>
    <t>Итого за период с 2014 по 2017 гг.</t>
  </si>
  <si>
    <t>Кол-во по договору</t>
  </si>
  <si>
    <t>Срок завершения по договору</t>
  </si>
  <si>
    <t>Сумма договора</t>
  </si>
  <si>
    <t>Валюта договора</t>
  </si>
  <si>
    <t>№ и дата договора</t>
  </si>
  <si>
    <t>Наименование подрядчика</t>
  </si>
  <si>
    <t>Годовой план</t>
  </si>
  <si>
    <t>Кол-во</t>
  </si>
  <si>
    <t>Сроки релизации</t>
  </si>
  <si>
    <t>Сметная стоимость</t>
  </si>
  <si>
    <t>Примечание</t>
  </si>
  <si>
    <t>Ответственный(-ые) за исполнение проекта</t>
  </si>
  <si>
    <t>Меры реагирования</t>
  </si>
  <si>
    <t>Регион реализации проекта</t>
  </si>
  <si>
    <r>
      <t>Факторы и их значения, которые повлияли на исполнение плана в отчетном периоде</t>
    </r>
    <r>
      <rPr>
        <b/>
        <i/>
        <sz val="10"/>
        <rFont val="Times New Roman"/>
        <family val="1"/>
        <charset val="204"/>
      </rPr>
      <t xml:space="preserve">
</t>
    </r>
    <r>
      <rPr>
        <i/>
        <sz val="10"/>
        <rFont val="Times New Roman"/>
        <family val="1"/>
        <charset val="204"/>
      </rPr>
      <t>(данные заполняются и по исполнению и по финансированию)</t>
    </r>
  </si>
  <si>
    <t>Ожидаемое исполнение до конца года</t>
  </si>
  <si>
    <r>
      <t xml:space="preserve">расшифровка финансирования </t>
    </r>
    <r>
      <rPr>
        <i/>
        <sz val="10"/>
        <rFont val="Times New Roman"/>
        <family val="1"/>
        <charset val="204"/>
      </rPr>
      <t>(без НДС)</t>
    </r>
    <r>
      <rPr>
        <b/>
        <sz val="10"/>
        <rFont val="Times New Roman"/>
        <family val="1"/>
        <charset val="204"/>
      </rPr>
      <t xml:space="preserve"> за отчетный период</t>
    </r>
  </si>
  <si>
    <r>
      <t xml:space="preserve">Исполнение за отчетный период
</t>
    </r>
    <r>
      <rPr>
        <i/>
        <sz val="10"/>
        <rFont val="Times New Roman"/>
        <family val="1"/>
        <charset val="204"/>
      </rPr>
      <t>(с начала года - по отчетный месяц включительно)</t>
    </r>
  </si>
  <si>
    <r>
      <t xml:space="preserve">Освоение с начала реализации проекта до отчетного года
</t>
    </r>
    <r>
      <rPr>
        <i/>
        <sz val="10"/>
        <rFont val="Times New Roman"/>
        <family val="1"/>
        <charset val="204"/>
      </rPr>
      <t>(указываются только те проекты, которые предусмотрены в плане отчетного года)</t>
    </r>
  </si>
  <si>
    <t>Все договоры, доп.соглашения, уведомления (о расторжениии) и пр. с начала реализации проекта</t>
  </si>
  <si>
    <t>План на 2018 год*</t>
  </si>
  <si>
    <t>Источники финансирования</t>
  </si>
  <si>
    <t>ПКВ/ГФ</t>
  </si>
  <si>
    <t>Наименование проекта</t>
  </si>
  <si>
    <t>№ п/п</t>
  </si>
  <si>
    <t>тыс. тенге</t>
  </si>
  <si>
    <t>от ____________________</t>
  </si>
  <si>
    <t>Отчет об исполнении Плана капитальных вложений АО "Қазтеміртранс" за 12 месяцев 2018 года
(по фактическим данным)</t>
  </si>
  <si>
    <t>исх. №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</si>
</sst>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_-"/>
    <numFmt numFmtId="165" formatCode="_-* #,##0_р_._-;\-* #,##0_р_._-;_-* &quot;-&quot;??_р_._-;_-@_-"/>
    <numFmt numFmtId="166" formatCode="0.000"/>
    <numFmt numFmtId="167" formatCode="0.0%"/>
    <numFmt numFmtId="168" formatCode="dd/mm/yy;@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6"/>
      <color theme="0"/>
      <name val="Arial Cyr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sz val="16"/>
      <name val="Arial Cyr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9"/>
      <color theme="1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1"/>
      <name val="Tahoma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6" fillId="0" borderId="0"/>
    <xf numFmtId="0" fontId="16" fillId="0" borderId="0"/>
  </cellStyleXfs>
  <cellXfs count="6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7" fillId="0" borderId="0" xfId="0" applyNumberFormat="1" applyFont="1"/>
    <xf numFmtId="3" fontId="7" fillId="0" borderId="0" xfId="0" applyNumberFormat="1" applyFont="1" applyAlignment="1">
      <alignment horizontal="left" wrapText="1"/>
    </xf>
    <xf numFmtId="4" fontId="9" fillId="2" borderId="0" xfId="3" applyNumberFormat="1" applyFont="1" applyFill="1" applyBorder="1" applyAlignment="1">
      <alignment vertical="center"/>
    </xf>
    <xf numFmtId="4" fontId="7" fillId="0" borderId="0" xfId="0" applyNumberFormat="1" applyFont="1"/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3" fontId="4" fillId="2" borderId="0" xfId="3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3" fontId="9" fillId="2" borderId="0" xfId="3" applyNumberFormat="1" applyFont="1" applyFill="1" applyBorder="1" applyAlignment="1">
      <alignment horizontal="right" vertical="center"/>
    </xf>
    <xf numFmtId="165" fontId="2" fillId="0" borderId="0" xfId="1" applyNumberFormat="1" applyFont="1" applyBorder="1" applyAlignment="1">
      <alignment horizontal="left" vertical="center" wrapText="1"/>
    </xf>
    <xf numFmtId="4" fontId="2" fillId="0" borderId="0" xfId="1" applyNumberFormat="1" applyFont="1" applyBorder="1" applyAlignment="1">
      <alignment vertical="center"/>
    </xf>
    <xf numFmtId="165" fontId="2" fillId="0" borderId="0" xfId="1" applyNumberFormat="1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left" vertical="center"/>
    </xf>
    <xf numFmtId="165" fontId="4" fillId="0" borderId="0" xfId="1" applyNumberFormat="1" applyFont="1" applyBorder="1" applyAlignment="1">
      <alignment horizontal="left" vertical="center"/>
    </xf>
    <xf numFmtId="3" fontId="2" fillId="0" borderId="0" xfId="1" applyNumberFormat="1" applyFont="1" applyBorder="1" applyAlignment="1">
      <alignment vertical="center"/>
    </xf>
    <xf numFmtId="0" fontId="11" fillId="0" borderId="0" xfId="0" applyFont="1"/>
    <xf numFmtId="0" fontId="2" fillId="0" borderId="0" xfId="0" applyFont="1" applyBorder="1" applyAlignment="1">
      <alignment horizontal="left" vertical="center"/>
    </xf>
    <xf numFmtId="0" fontId="12" fillId="0" borderId="0" xfId="0" applyFont="1"/>
    <xf numFmtId="3" fontId="9" fillId="2" borderId="0" xfId="3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13" fillId="0" borderId="2" xfId="1" applyNumberFormat="1" applyFont="1" applyFill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/>
    </xf>
    <xf numFmtId="9" fontId="13" fillId="0" borderId="1" xfId="2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1" xfId="1" applyNumberFormat="1" applyFont="1" applyBorder="1" applyAlignment="1">
      <alignment vertical="center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vertical="center"/>
    </xf>
    <xf numFmtId="4" fontId="13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65" fontId="13" fillId="0" borderId="3" xfId="1" applyNumberFormat="1" applyFont="1" applyFill="1" applyBorder="1" applyAlignment="1">
      <alignment horizontal="left" vertical="center"/>
    </xf>
    <xf numFmtId="3" fontId="13" fillId="0" borderId="1" xfId="1" applyNumberFormat="1" applyFont="1" applyBorder="1" applyAlignment="1">
      <alignment horizontal="right" vertical="center"/>
    </xf>
    <xf numFmtId="165" fontId="13" fillId="0" borderId="1" xfId="1" applyNumberFormat="1" applyFont="1" applyBorder="1" applyAlignment="1">
      <alignment horizontal="right" vertical="center"/>
    </xf>
    <xf numFmtId="3" fontId="13" fillId="0" borderId="1" xfId="1" applyNumberFormat="1" applyFont="1" applyFill="1" applyBorder="1" applyAlignment="1">
      <alignment horizontal="right" vertical="center"/>
    </xf>
    <xf numFmtId="3" fontId="13" fillId="0" borderId="1" xfId="0" applyNumberFormat="1" applyFont="1" applyBorder="1" applyAlignment="1">
      <alignment vertical="center"/>
    </xf>
    <xf numFmtId="3" fontId="13" fillId="0" borderId="1" xfId="1" applyNumberFormat="1" applyFont="1" applyBorder="1" applyAlignment="1">
      <alignment vertical="center"/>
    </xf>
    <xf numFmtId="3" fontId="1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165" fontId="13" fillId="3" borderId="3" xfId="1" applyNumberFormat="1" applyFont="1" applyFill="1" applyBorder="1" applyAlignment="1">
      <alignment vertical="center"/>
    </xf>
    <xf numFmtId="165" fontId="15" fillId="3" borderId="3" xfId="1" applyNumberFormat="1" applyFont="1" applyFill="1" applyBorder="1" applyAlignment="1">
      <alignment vertical="center"/>
    </xf>
    <xf numFmtId="3" fontId="15" fillId="3" borderId="3" xfId="1" applyNumberFormat="1" applyFont="1" applyFill="1" applyBorder="1" applyAlignment="1">
      <alignment horizontal="right" vertical="center"/>
    </xf>
    <xf numFmtId="165" fontId="15" fillId="3" borderId="3" xfId="1" applyNumberFormat="1" applyFont="1" applyFill="1" applyBorder="1" applyAlignment="1">
      <alignment horizontal="right" vertical="center"/>
    </xf>
    <xf numFmtId="165" fontId="15" fillId="3" borderId="1" xfId="1" applyNumberFormat="1" applyFont="1" applyFill="1" applyBorder="1" applyAlignment="1">
      <alignment vertical="center"/>
    </xf>
    <xf numFmtId="165" fontId="15" fillId="3" borderId="3" xfId="1" applyNumberFormat="1" applyFont="1" applyFill="1" applyBorder="1" applyAlignment="1">
      <alignment horizontal="left" vertical="center" wrapText="1"/>
    </xf>
    <xf numFmtId="4" fontId="15" fillId="3" borderId="3" xfId="1" applyNumberFormat="1" applyFont="1" applyFill="1" applyBorder="1" applyAlignment="1">
      <alignment horizontal="right" vertical="center"/>
    </xf>
    <xf numFmtId="165" fontId="15" fillId="3" borderId="3" xfId="1" applyNumberFormat="1" applyFont="1" applyFill="1" applyBorder="1" applyAlignment="1">
      <alignment horizontal="center" vertical="center"/>
    </xf>
    <xf numFmtId="165" fontId="15" fillId="3" borderId="3" xfId="1" applyNumberFormat="1" applyFont="1" applyFill="1" applyBorder="1" applyAlignment="1">
      <alignment horizontal="left" vertical="center"/>
    </xf>
    <xf numFmtId="0" fontId="15" fillId="3" borderId="3" xfId="1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165" fontId="13" fillId="3" borderId="1" xfId="1" applyNumberFormat="1" applyFont="1" applyFill="1" applyBorder="1" applyAlignment="1">
      <alignment vertical="center"/>
    </xf>
    <xf numFmtId="3" fontId="15" fillId="3" borderId="1" xfId="1" applyNumberFormat="1" applyFont="1" applyFill="1" applyBorder="1" applyAlignment="1">
      <alignment horizontal="right" vertical="center"/>
    </xf>
    <xf numFmtId="165" fontId="15" fillId="3" borderId="1" xfId="1" applyNumberFormat="1" applyFont="1" applyFill="1" applyBorder="1" applyAlignment="1">
      <alignment horizontal="right" vertical="center"/>
    </xf>
    <xf numFmtId="165" fontId="15" fillId="3" borderId="1" xfId="1" applyNumberFormat="1" applyFont="1" applyFill="1" applyBorder="1" applyAlignment="1">
      <alignment horizontal="left" vertical="center" wrapText="1"/>
    </xf>
    <xf numFmtId="4" fontId="15" fillId="3" borderId="1" xfId="1" applyNumberFormat="1" applyFont="1" applyFill="1" applyBorder="1" applyAlignment="1">
      <alignment horizontal="right" vertical="center"/>
    </xf>
    <xf numFmtId="165" fontId="15" fillId="3" borderId="1" xfId="1" applyNumberFormat="1" applyFont="1" applyFill="1" applyBorder="1" applyAlignment="1">
      <alignment horizontal="center" vertical="center"/>
    </xf>
    <xf numFmtId="165" fontId="15" fillId="3" borderId="1" xfId="1" applyNumberFormat="1" applyFont="1" applyFill="1" applyBorder="1" applyAlignment="1">
      <alignment horizontal="left" vertical="center"/>
    </xf>
    <xf numFmtId="0" fontId="15" fillId="3" borderId="1" xfId="1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5" fontId="2" fillId="0" borderId="1" xfId="1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/>
    </xf>
    <xf numFmtId="3" fontId="2" fillId="0" borderId="1" xfId="1" applyNumberFormat="1" applyFont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/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5" fontId="13" fillId="0" borderId="1" xfId="1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4" fontId="13" fillId="0" borderId="1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3" fontId="15" fillId="0" borderId="1" xfId="0" applyNumberFormat="1" applyFont="1" applyFill="1" applyBorder="1"/>
    <xf numFmtId="3" fontId="15" fillId="0" borderId="1" xfId="0" applyNumberFormat="1" applyFont="1" applyFill="1" applyBorder="1" applyAlignment="1">
      <alignment horizontal="righ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3" fontId="13" fillId="0" borderId="1" xfId="1" applyNumberFormat="1" applyFont="1" applyBorder="1" applyAlignment="1">
      <alignment horizontal="center" vertical="center"/>
    </xf>
    <xf numFmtId="3" fontId="13" fillId="4" borderId="1" xfId="1" applyNumberFormat="1" applyFont="1" applyFill="1" applyBorder="1" applyAlignment="1">
      <alignment vertical="center"/>
    </xf>
    <xf numFmtId="3" fontId="15" fillId="0" borderId="1" xfId="1" applyNumberFormat="1" applyFont="1" applyFill="1" applyBorder="1" applyAlignment="1">
      <alignment vertical="center"/>
    </xf>
    <xf numFmtId="3" fontId="15" fillId="0" borderId="1" xfId="1" applyNumberFormat="1" applyFont="1" applyFill="1" applyBorder="1" applyAlignment="1">
      <alignment horizontal="right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vertical="center"/>
    </xf>
    <xf numFmtId="3" fontId="2" fillId="5" borderId="1" xfId="1" applyNumberFormat="1" applyFont="1" applyFill="1" applyBorder="1" applyAlignment="1">
      <alignment horizontal="right" vertical="center"/>
    </xf>
    <xf numFmtId="165" fontId="2" fillId="0" borderId="1" xfId="1" applyNumberFormat="1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left" vertical="center"/>
    </xf>
    <xf numFmtId="165" fontId="4" fillId="0" borderId="1" xfId="1" applyNumberFormat="1" applyFont="1" applyFill="1" applyBorder="1" applyAlignment="1">
      <alignment horizontal="left" vertical="center" wrapText="1"/>
    </xf>
    <xf numFmtId="3" fontId="4" fillId="0" borderId="1" xfId="1" applyNumberFormat="1" applyFont="1" applyFill="1" applyBorder="1" applyAlignment="1">
      <alignment horizontal="right" vertical="center"/>
    </xf>
    <xf numFmtId="165" fontId="13" fillId="0" borderId="1" xfId="1" applyNumberFormat="1" applyFont="1" applyFill="1" applyBorder="1" applyAlignment="1">
      <alignment vertical="center"/>
    </xf>
    <xf numFmtId="3" fontId="13" fillId="5" borderId="1" xfId="1" applyNumberFormat="1" applyFont="1" applyFill="1" applyBorder="1" applyAlignment="1">
      <alignment horizontal="right" vertical="center"/>
    </xf>
    <xf numFmtId="165" fontId="13" fillId="0" borderId="1" xfId="1" applyNumberFormat="1" applyFont="1" applyFill="1" applyBorder="1" applyAlignment="1">
      <alignment horizontal="left" vertical="center" wrapText="1"/>
    </xf>
    <xf numFmtId="165" fontId="13" fillId="0" borderId="1" xfId="1" applyNumberFormat="1" applyFont="1" applyFill="1" applyBorder="1" applyAlignment="1">
      <alignment horizontal="center" vertical="center"/>
    </xf>
    <xf numFmtId="165" fontId="13" fillId="0" borderId="1" xfId="1" applyNumberFormat="1" applyFont="1" applyFill="1" applyBorder="1" applyAlignment="1">
      <alignment horizontal="left" vertical="center"/>
    </xf>
    <xf numFmtId="165" fontId="15" fillId="0" borderId="1" xfId="1" applyNumberFormat="1" applyFont="1" applyFill="1" applyBorder="1" applyAlignment="1">
      <alignment horizontal="left" vertical="center" wrapText="1"/>
    </xf>
    <xf numFmtId="3" fontId="15" fillId="3" borderId="1" xfId="1" applyNumberFormat="1" applyFont="1" applyFill="1" applyBorder="1" applyAlignment="1">
      <alignment vertical="center"/>
    </xf>
    <xf numFmtId="0" fontId="2" fillId="6" borderId="0" xfId="0" applyFont="1" applyFill="1" applyAlignment="1">
      <alignment vertical="center"/>
    </xf>
    <xf numFmtId="0" fontId="3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165" fontId="2" fillId="6" borderId="1" xfId="1" applyNumberFormat="1" applyFont="1" applyFill="1" applyBorder="1" applyAlignment="1">
      <alignment vertical="center"/>
    </xf>
    <xf numFmtId="165" fontId="4" fillId="6" borderId="1" xfId="1" applyNumberFormat="1" applyFont="1" applyFill="1" applyBorder="1" applyAlignment="1">
      <alignment vertical="center"/>
    </xf>
    <xf numFmtId="3" fontId="4" fillId="6" borderId="1" xfId="1" applyNumberFormat="1" applyFont="1" applyFill="1" applyBorder="1" applyAlignment="1">
      <alignment horizontal="right" vertical="center"/>
    </xf>
    <xf numFmtId="165" fontId="4" fillId="6" borderId="1" xfId="1" applyNumberFormat="1" applyFont="1" applyFill="1" applyBorder="1" applyAlignment="1">
      <alignment horizontal="right" vertical="center"/>
    </xf>
    <xf numFmtId="3" fontId="4" fillId="6" borderId="1" xfId="1" applyNumberFormat="1" applyFont="1" applyFill="1" applyBorder="1" applyAlignment="1">
      <alignment vertical="center"/>
    </xf>
    <xf numFmtId="165" fontId="4" fillId="6" borderId="1" xfId="1" applyNumberFormat="1" applyFont="1" applyFill="1" applyBorder="1" applyAlignment="1">
      <alignment horizontal="left" vertical="center" wrapText="1"/>
    </xf>
    <xf numFmtId="4" fontId="4" fillId="6" borderId="1" xfId="1" applyNumberFormat="1" applyFont="1" applyFill="1" applyBorder="1" applyAlignment="1">
      <alignment horizontal="right" vertical="center"/>
    </xf>
    <xf numFmtId="165" fontId="4" fillId="6" borderId="1" xfId="1" applyNumberFormat="1" applyFont="1" applyFill="1" applyBorder="1" applyAlignment="1">
      <alignment horizontal="center" vertical="center"/>
    </xf>
    <xf numFmtId="165" fontId="4" fillId="6" borderId="1" xfId="1" applyNumberFormat="1" applyFont="1" applyFill="1" applyBorder="1" applyAlignment="1">
      <alignment horizontal="left" vertical="center"/>
    </xf>
    <xf numFmtId="0" fontId="4" fillId="6" borderId="1" xfId="1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0" xfId="0" applyFont="1" applyFill="1" applyAlignment="1">
      <alignment vertical="center"/>
    </xf>
    <xf numFmtId="0" fontId="14" fillId="7" borderId="1" xfId="0" applyFont="1" applyFill="1" applyBorder="1" applyAlignment="1">
      <alignment vertical="center"/>
    </xf>
    <xf numFmtId="0" fontId="13" fillId="7" borderId="1" xfId="0" applyFont="1" applyFill="1" applyBorder="1" applyAlignment="1">
      <alignment vertical="center"/>
    </xf>
    <xf numFmtId="165" fontId="13" fillId="7" borderId="1" xfId="1" applyNumberFormat="1" applyFont="1" applyFill="1" applyBorder="1" applyAlignment="1">
      <alignment vertical="center"/>
    </xf>
    <xf numFmtId="165" fontId="15" fillId="7" borderId="1" xfId="1" applyNumberFormat="1" applyFont="1" applyFill="1" applyBorder="1" applyAlignment="1">
      <alignment vertical="center"/>
    </xf>
    <xf numFmtId="3" fontId="15" fillId="7" borderId="1" xfId="1" applyNumberFormat="1" applyFont="1" applyFill="1" applyBorder="1" applyAlignment="1">
      <alignment horizontal="right" vertical="center"/>
    </xf>
    <xf numFmtId="165" fontId="15" fillId="7" borderId="1" xfId="1" applyNumberFormat="1" applyFont="1" applyFill="1" applyBorder="1" applyAlignment="1">
      <alignment horizontal="right" vertical="center"/>
    </xf>
    <xf numFmtId="3" fontId="15" fillId="7" borderId="1" xfId="1" applyNumberFormat="1" applyFont="1" applyFill="1" applyBorder="1" applyAlignment="1">
      <alignment vertical="center"/>
    </xf>
    <xf numFmtId="165" fontId="15" fillId="7" borderId="1" xfId="1" applyNumberFormat="1" applyFont="1" applyFill="1" applyBorder="1" applyAlignment="1">
      <alignment horizontal="left" vertical="center" wrapText="1"/>
    </xf>
    <xf numFmtId="4" fontId="15" fillId="7" borderId="1" xfId="1" applyNumberFormat="1" applyFont="1" applyFill="1" applyBorder="1" applyAlignment="1">
      <alignment horizontal="right" vertical="center"/>
    </xf>
    <xf numFmtId="165" fontId="15" fillId="7" borderId="1" xfId="1" applyNumberFormat="1" applyFont="1" applyFill="1" applyBorder="1" applyAlignment="1">
      <alignment horizontal="center" vertical="center"/>
    </xf>
    <xf numFmtId="165" fontId="15" fillId="7" borderId="1" xfId="1" applyNumberFormat="1" applyFont="1" applyFill="1" applyBorder="1" applyAlignment="1">
      <alignment horizontal="left" vertical="center"/>
    </xf>
    <xf numFmtId="0" fontId="15" fillId="7" borderId="1" xfId="1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/>
    </xf>
    <xf numFmtId="165" fontId="14" fillId="7" borderId="1" xfId="0" applyNumberFormat="1" applyFont="1" applyFill="1" applyBorder="1" applyAlignment="1">
      <alignment vertical="center"/>
    </xf>
    <xf numFmtId="165" fontId="13" fillId="7" borderId="1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horizontal="center" vertical="center"/>
    </xf>
    <xf numFmtId="9" fontId="2" fillId="0" borderId="1" xfId="2" applyFont="1" applyBorder="1" applyAlignment="1">
      <alignment vertical="center"/>
    </xf>
    <xf numFmtId="3" fontId="2" fillId="0" borderId="2" xfId="1" applyNumberFormat="1" applyFont="1" applyBorder="1" applyAlignment="1">
      <alignment horizontal="right" vertical="center"/>
    </xf>
    <xf numFmtId="4" fontId="4" fillId="0" borderId="1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4" fillId="0" borderId="1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horizontal="right" vertical="center"/>
    </xf>
    <xf numFmtId="0" fontId="4" fillId="0" borderId="2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13" fillId="8" borderId="4" xfId="0" applyFont="1" applyFill="1" applyBorder="1" applyAlignment="1">
      <alignment horizontal="center" vertical="center"/>
    </xf>
    <xf numFmtId="9" fontId="13" fillId="0" borderId="1" xfId="2" applyFont="1" applyBorder="1" applyAlignment="1">
      <alignment vertical="center"/>
    </xf>
    <xf numFmtId="3" fontId="2" fillId="0" borderId="4" xfId="1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3" fontId="15" fillId="0" borderId="1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horizontal="right" vertical="center"/>
    </xf>
    <xf numFmtId="0" fontId="4" fillId="0" borderId="4" xfId="1" applyNumberFormat="1" applyFont="1" applyBorder="1" applyAlignment="1">
      <alignment horizontal="center" vertical="center" wrapText="1"/>
    </xf>
    <xf numFmtId="3" fontId="15" fillId="0" borderId="1" xfId="1" applyNumberFormat="1" applyFont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3" fillId="8" borderId="0" xfId="0" applyFont="1" applyFill="1" applyAlignment="1">
      <alignment vertical="center"/>
    </xf>
    <xf numFmtId="0" fontId="13" fillId="8" borderId="1" xfId="0" applyFont="1" applyFill="1" applyBorder="1" applyAlignment="1">
      <alignment vertical="center"/>
    </xf>
    <xf numFmtId="3" fontId="13" fillId="8" borderId="1" xfId="1" applyNumberFormat="1" applyFont="1" applyFill="1" applyBorder="1" applyAlignment="1">
      <alignment horizontal="right" vertical="center"/>
    </xf>
    <xf numFmtId="165" fontId="13" fillId="8" borderId="1" xfId="1" applyNumberFormat="1" applyFont="1" applyFill="1" applyBorder="1" applyAlignment="1">
      <alignment horizontal="right" vertical="center"/>
    </xf>
    <xf numFmtId="9" fontId="13" fillId="8" borderId="1" xfId="2" applyFont="1" applyFill="1" applyBorder="1" applyAlignment="1">
      <alignment vertical="center"/>
    </xf>
    <xf numFmtId="3" fontId="13" fillId="8" borderId="1" xfId="1" applyNumberFormat="1" applyFont="1" applyFill="1" applyBorder="1" applyAlignment="1">
      <alignment vertical="center"/>
    </xf>
    <xf numFmtId="3" fontId="13" fillId="8" borderId="1" xfId="1" applyNumberFormat="1" applyFont="1" applyFill="1" applyBorder="1" applyAlignment="1">
      <alignment horizontal="center" vertical="center"/>
    </xf>
    <xf numFmtId="3" fontId="2" fillId="0" borderId="3" xfId="1" applyNumberFormat="1" applyFont="1" applyBorder="1" applyAlignment="1">
      <alignment horizontal="right" vertical="center"/>
    </xf>
    <xf numFmtId="4" fontId="15" fillId="8" borderId="1" xfId="1" applyNumberFormat="1" applyFont="1" applyFill="1" applyBorder="1" applyAlignment="1">
      <alignment vertical="center"/>
    </xf>
    <xf numFmtId="4" fontId="13" fillId="8" borderId="1" xfId="1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3" fontId="15" fillId="8" borderId="1" xfId="1" applyNumberFormat="1" applyFont="1" applyFill="1" applyBorder="1" applyAlignment="1">
      <alignment vertical="center"/>
    </xf>
    <xf numFmtId="3" fontId="15" fillId="8" borderId="1" xfId="1" applyNumberFormat="1" applyFont="1" applyFill="1" applyBorder="1" applyAlignment="1">
      <alignment horizontal="right" vertical="center"/>
    </xf>
    <xf numFmtId="0" fontId="13" fillId="8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3" fontId="3" fillId="0" borderId="1" xfId="1" applyNumberFormat="1" applyFont="1" applyBorder="1" applyAlignment="1">
      <alignment horizontal="right" vertical="center"/>
    </xf>
    <xf numFmtId="3" fontId="2" fillId="5" borderId="1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3" fontId="14" fillId="0" borderId="1" xfId="1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 wrapText="1"/>
    </xf>
    <xf numFmtId="4" fontId="14" fillId="8" borderId="1" xfId="1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left" vertical="center" wrapText="1"/>
    </xf>
    <xf numFmtId="3" fontId="2" fillId="4" borderId="1" xfId="1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3" fontId="13" fillId="0" borderId="1" xfId="1" applyNumberFormat="1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vertical="center"/>
    </xf>
    <xf numFmtId="166" fontId="13" fillId="0" borderId="1" xfId="0" applyNumberFormat="1" applyFont="1" applyBorder="1" applyAlignment="1">
      <alignment vertical="center"/>
    </xf>
    <xf numFmtId="3" fontId="14" fillId="8" borderId="1" xfId="1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3" fontId="2" fillId="9" borderId="1" xfId="1" applyNumberFormat="1" applyFont="1" applyFill="1" applyBorder="1" applyAlignment="1">
      <alignment vertical="center"/>
    </xf>
    <xf numFmtId="3" fontId="13" fillId="8" borderId="3" xfId="0" applyNumberFormat="1" applyFont="1" applyFill="1" applyBorder="1" applyAlignment="1">
      <alignment horizontal="center" vertical="center"/>
    </xf>
    <xf numFmtId="165" fontId="13" fillId="8" borderId="3" xfId="0" applyNumberFormat="1" applyFont="1" applyFill="1" applyBorder="1" applyAlignment="1">
      <alignment horizontal="center" vertical="center"/>
    </xf>
    <xf numFmtId="3" fontId="4" fillId="0" borderId="3" xfId="1" applyNumberFormat="1" applyFont="1" applyBorder="1" applyAlignment="1">
      <alignment horizontal="right" vertical="center"/>
    </xf>
    <xf numFmtId="0" fontId="4" fillId="0" borderId="3" xfId="1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13" fillId="3" borderId="1" xfId="1" applyNumberFormat="1" applyFont="1" applyFill="1" applyBorder="1" applyAlignment="1">
      <alignment horizontal="right" vertical="center"/>
    </xf>
    <xf numFmtId="3" fontId="2" fillId="3" borderId="1" xfId="1" applyNumberFormat="1" applyFont="1" applyFill="1" applyBorder="1" applyAlignment="1">
      <alignment vertical="center"/>
    </xf>
    <xf numFmtId="3" fontId="13" fillId="10" borderId="1" xfId="1" applyNumberFormat="1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left" vertical="center" wrapText="1"/>
    </xf>
    <xf numFmtId="0" fontId="4" fillId="10" borderId="2" xfId="0" applyFont="1" applyFill="1" applyBorder="1" applyAlignment="1">
      <alignment horizontal="left" vertical="center" wrapText="1"/>
    </xf>
    <xf numFmtId="3" fontId="13" fillId="10" borderId="1" xfId="1" applyNumberFormat="1" applyFont="1" applyFill="1" applyBorder="1" applyAlignment="1">
      <alignment vertical="center"/>
    </xf>
    <xf numFmtId="0" fontId="2" fillId="10" borderId="4" xfId="0" applyFont="1" applyFill="1" applyBorder="1" applyAlignment="1">
      <alignment horizontal="left" vertical="center" wrapText="1"/>
    </xf>
    <xf numFmtId="0" fontId="4" fillId="10" borderId="4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4" fillId="10" borderId="3" xfId="0" applyFont="1" applyFill="1" applyBorder="1" applyAlignment="1">
      <alignment horizontal="left" vertical="center" wrapText="1"/>
    </xf>
    <xf numFmtId="0" fontId="3" fillId="10" borderId="2" xfId="0" applyFont="1" applyFill="1" applyBorder="1" applyAlignment="1">
      <alignment horizontal="left" vertical="center" wrapText="1"/>
    </xf>
    <xf numFmtId="0" fontId="3" fillId="10" borderId="4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left" vertical="center" wrapText="1"/>
    </xf>
    <xf numFmtId="3" fontId="14" fillId="0" borderId="1" xfId="1" applyNumberFormat="1" applyFont="1" applyBorder="1" applyAlignment="1">
      <alignment vertical="center"/>
    </xf>
    <xf numFmtId="3" fontId="14" fillId="11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vertical="center"/>
    </xf>
    <xf numFmtId="3" fontId="4" fillId="12" borderId="1" xfId="1" applyNumberFormat="1" applyFont="1" applyFill="1" applyBorder="1" applyAlignment="1">
      <alignment horizontal="center" vertical="center"/>
    </xf>
    <xf numFmtId="3" fontId="4" fillId="12" borderId="1" xfId="1" applyNumberFormat="1" applyFont="1" applyFill="1" applyBorder="1" applyAlignment="1">
      <alignment vertical="center"/>
    </xf>
    <xf numFmtId="3" fontId="15" fillId="12" borderId="1" xfId="1" applyNumberFormat="1" applyFont="1" applyFill="1" applyBorder="1" applyAlignment="1">
      <alignment horizontal="center" vertical="center"/>
    </xf>
    <xf numFmtId="3" fontId="15" fillId="12" borderId="1" xfId="1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horizontal="center" vertical="center"/>
    </xf>
    <xf numFmtId="3" fontId="2" fillId="11" borderId="1" xfId="1" applyNumberFormat="1" applyFont="1" applyFill="1" applyBorder="1" applyAlignment="1">
      <alignment horizontal="center" vertical="center"/>
    </xf>
    <xf numFmtId="3" fontId="2" fillId="11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3" fontId="14" fillId="0" borderId="1" xfId="1" applyNumberFormat="1" applyFont="1" applyFill="1" applyBorder="1" applyAlignment="1">
      <alignment vertical="center"/>
    </xf>
    <xf numFmtId="3" fontId="14" fillId="11" borderId="1" xfId="1" applyNumberFormat="1" applyFont="1" applyFill="1" applyBorder="1" applyAlignment="1">
      <alignment vertical="center"/>
    </xf>
    <xf numFmtId="3" fontId="2" fillId="14" borderId="1" xfId="1" applyNumberFormat="1" applyFont="1" applyFill="1" applyBorder="1" applyAlignment="1">
      <alignment horizontal="center" vertical="center"/>
    </xf>
    <xf numFmtId="3" fontId="2" fillId="14" borderId="1" xfId="1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 wrapText="1"/>
    </xf>
    <xf numFmtId="0" fontId="4" fillId="14" borderId="1" xfId="0" applyFont="1" applyFill="1" applyBorder="1" applyAlignment="1">
      <alignment horizontal="left" vertical="center" wrapText="1"/>
    </xf>
    <xf numFmtId="3" fontId="13" fillId="14" borderId="1" xfId="1" applyNumberFormat="1" applyFont="1" applyFill="1" applyBorder="1" applyAlignment="1">
      <alignment horizontal="center" vertical="center"/>
    </xf>
    <xf numFmtId="3" fontId="13" fillId="14" borderId="1" xfId="1" applyNumberFormat="1" applyFont="1" applyFill="1" applyBorder="1" applyAlignment="1">
      <alignment vertical="center"/>
    </xf>
    <xf numFmtId="3" fontId="2" fillId="12" borderId="1" xfId="1" applyNumberFormat="1" applyFont="1" applyFill="1" applyBorder="1" applyAlignment="1">
      <alignment horizontal="center" vertical="center"/>
    </xf>
    <xf numFmtId="3" fontId="2" fillId="12" borderId="1" xfId="1" applyNumberFormat="1" applyFont="1" applyFill="1" applyBorder="1" applyAlignment="1">
      <alignment vertical="center"/>
    </xf>
    <xf numFmtId="0" fontId="2" fillId="12" borderId="1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left" vertical="center" wrapText="1"/>
    </xf>
    <xf numFmtId="3" fontId="13" fillId="12" borderId="1" xfId="1" applyNumberFormat="1" applyFont="1" applyFill="1" applyBorder="1" applyAlignment="1">
      <alignment horizontal="center" vertical="center"/>
    </xf>
    <xf numFmtId="3" fontId="13" fillId="12" borderId="1" xfId="1" applyNumberFormat="1" applyFont="1" applyFill="1" applyBorder="1" applyAlignment="1">
      <alignment vertical="center"/>
    </xf>
    <xf numFmtId="165" fontId="2" fillId="8" borderId="3" xfId="0" applyNumberFormat="1" applyFont="1" applyFill="1" applyBorder="1" applyAlignment="1">
      <alignment horizontal="center" vertical="center"/>
    </xf>
    <xf numFmtId="0" fontId="13" fillId="15" borderId="0" xfId="0" applyFont="1" applyFill="1" applyAlignment="1">
      <alignment vertical="center"/>
    </xf>
    <xf numFmtId="0" fontId="14" fillId="15" borderId="1" xfId="0" applyFont="1" applyFill="1" applyBorder="1" applyAlignment="1">
      <alignment vertical="center"/>
    </xf>
    <xf numFmtId="0" fontId="13" fillId="15" borderId="1" xfId="0" applyFont="1" applyFill="1" applyBorder="1" applyAlignment="1">
      <alignment vertical="center"/>
    </xf>
    <xf numFmtId="3" fontId="15" fillId="15" borderId="1" xfId="1" applyNumberFormat="1" applyFont="1" applyFill="1" applyBorder="1" applyAlignment="1">
      <alignment horizontal="right" vertical="center"/>
    </xf>
    <xf numFmtId="165" fontId="15" fillId="15" borderId="1" xfId="1" applyNumberFormat="1" applyFont="1" applyFill="1" applyBorder="1" applyAlignment="1">
      <alignment horizontal="right" vertical="center"/>
    </xf>
    <xf numFmtId="9" fontId="13" fillId="15" borderId="1" xfId="2" applyFont="1" applyFill="1" applyBorder="1" applyAlignment="1">
      <alignment vertical="center"/>
    </xf>
    <xf numFmtId="3" fontId="15" fillId="15" borderId="1" xfId="1" applyNumberFormat="1" applyFont="1" applyFill="1" applyBorder="1" applyAlignment="1">
      <alignment vertical="center"/>
    </xf>
    <xf numFmtId="3" fontId="13" fillId="15" borderId="2" xfId="1" applyNumberFormat="1" applyFont="1" applyFill="1" applyBorder="1" applyAlignment="1">
      <alignment horizontal="center" vertical="center"/>
    </xf>
    <xf numFmtId="3" fontId="13" fillId="15" borderId="1" xfId="1" applyNumberFormat="1" applyFont="1" applyFill="1" applyBorder="1" applyAlignment="1">
      <alignment horizontal="center" vertical="center"/>
    </xf>
    <xf numFmtId="3" fontId="13" fillId="15" borderId="1" xfId="1" applyNumberFormat="1" applyFont="1" applyFill="1" applyBorder="1" applyAlignment="1">
      <alignment horizontal="right" vertical="center"/>
    </xf>
    <xf numFmtId="165" fontId="13" fillId="15" borderId="1" xfId="0" applyNumberFormat="1" applyFont="1" applyFill="1" applyBorder="1" applyAlignment="1">
      <alignment horizontal="left" vertical="center" wrapText="1"/>
    </xf>
    <xf numFmtId="4" fontId="15" fillId="15" borderId="1" xfId="1" applyNumberFormat="1" applyFont="1" applyFill="1" applyBorder="1" applyAlignment="1">
      <alignment vertical="center"/>
    </xf>
    <xf numFmtId="0" fontId="13" fillId="15" borderId="2" xfId="0" applyFont="1" applyFill="1" applyBorder="1" applyAlignment="1">
      <alignment horizontal="center" vertical="center" wrapText="1"/>
    </xf>
    <xf numFmtId="0" fontId="13" fillId="15" borderId="5" xfId="0" applyFont="1" applyFill="1" applyBorder="1" applyAlignment="1">
      <alignment horizontal="left" vertical="center" wrapText="1"/>
    </xf>
    <xf numFmtId="0" fontId="13" fillId="15" borderId="6" xfId="0" applyFont="1" applyFill="1" applyBorder="1" applyAlignment="1">
      <alignment horizontal="left" vertical="center" wrapText="1"/>
    </xf>
    <xf numFmtId="165" fontId="15" fillId="15" borderId="1" xfId="1" applyNumberFormat="1" applyFont="1" applyFill="1" applyBorder="1" applyAlignment="1">
      <alignment vertical="center"/>
    </xf>
    <xf numFmtId="0" fontId="13" fillId="15" borderId="1" xfId="0" applyFont="1" applyFill="1" applyBorder="1" applyAlignment="1">
      <alignment horizontal="left" vertical="center"/>
    </xf>
    <xf numFmtId="0" fontId="13" fillId="15" borderId="1" xfId="0" applyFont="1" applyFill="1" applyBorder="1" applyAlignment="1">
      <alignment horizontal="left" vertical="center" wrapText="1"/>
    </xf>
    <xf numFmtId="0" fontId="13" fillId="15" borderId="1" xfId="0" applyFont="1" applyFill="1" applyBorder="1" applyAlignment="1">
      <alignment horizontal="center" vertical="center"/>
    </xf>
    <xf numFmtId="165" fontId="14" fillId="0" borderId="1" xfId="0" applyNumberFormat="1" applyFont="1" applyBorder="1" applyAlignment="1">
      <alignment vertical="center"/>
    </xf>
    <xf numFmtId="165" fontId="13" fillId="0" borderId="1" xfId="0" applyNumberFormat="1" applyFont="1" applyBorder="1" applyAlignment="1">
      <alignment vertical="center"/>
    </xf>
    <xf numFmtId="0" fontId="13" fillId="15" borderId="3" xfId="0" applyFont="1" applyFill="1" applyBorder="1" applyAlignment="1">
      <alignment horizontal="center" vertical="center" wrapText="1"/>
    </xf>
    <xf numFmtId="0" fontId="13" fillId="15" borderId="7" xfId="0" applyFont="1" applyFill="1" applyBorder="1" applyAlignment="1">
      <alignment horizontal="left" vertical="center" wrapText="1"/>
    </xf>
    <xf numFmtId="0" fontId="13" fillId="15" borderId="8" xfId="0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/>
    </xf>
    <xf numFmtId="0" fontId="14" fillId="8" borderId="1" xfId="0" applyFont="1" applyFill="1" applyBorder="1" applyAlignment="1">
      <alignment vertical="center"/>
    </xf>
    <xf numFmtId="3" fontId="2" fillId="8" borderId="1" xfId="1" applyNumberFormat="1" applyFont="1" applyFill="1" applyBorder="1" applyAlignment="1">
      <alignment horizontal="center" vertical="center"/>
    </xf>
    <xf numFmtId="0" fontId="2" fillId="16" borderId="5" xfId="0" applyFont="1" applyFill="1" applyBorder="1" applyAlignment="1">
      <alignment horizontal="left" vertical="center" wrapText="1"/>
    </xf>
    <xf numFmtId="3" fontId="13" fillId="16" borderId="1" xfId="1" applyNumberFormat="1" applyFont="1" applyFill="1" applyBorder="1" applyAlignment="1">
      <alignment vertical="center"/>
    </xf>
    <xf numFmtId="0" fontId="2" fillId="16" borderId="9" xfId="0" applyFont="1" applyFill="1" applyBorder="1" applyAlignment="1">
      <alignment horizontal="left" vertical="center" wrapText="1"/>
    </xf>
    <xf numFmtId="0" fontId="2" fillId="16" borderId="7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4" fillId="0" borderId="1" xfId="4" applyNumberFormat="1" applyFont="1" applyFill="1" applyBorder="1" applyAlignment="1" applyProtection="1">
      <alignment vertical="center" wrapText="1"/>
    </xf>
    <xf numFmtId="9" fontId="2" fillId="0" borderId="1" xfId="2" applyFont="1" applyFill="1" applyBorder="1" applyAlignment="1">
      <alignment vertical="center"/>
    </xf>
    <xf numFmtId="4" fontId="2" fillId="0" borderId="1" xfId="1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/>
    </xf>
    <xf numFmtId="0" fontId="1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3" fontId="15" fillId="0" borderId="1" xfId="4" applyNumberFormat="1" applyFont="1" applyFill="1" applyBorder="1" applyAlignment="1" applyProtection="1">
      <alignment vertical="center" wrapText="1"/>
    </xf>
    <xf numFmtId="3" fontId="13" fillId="17" borderId="1" xfId="1" applyNumberFormat="1" applyFont="1" applyFill="1" applyBorder="1" applyAlignment="1">
      <alignment vertical="center"/>
    </xf>
    <xf numFmtId="4" fontId="13" fillId="0" borderId="1" xfId="1" applyNumberFormat="1" applyFont="1" applyFill="1" applyBorder="1" applyAlignment="1">
      <alignment vertical="center"/>
    </xf>
    <xf numFmtId="0" fontId="2" fillId="3" borderId="9" xfId="0" applyFont="1" applyFill="1" applyBorder="1" applyAlignment="1">
      <alignment horizontal="left" vertical="center" wrapText="1"/>
    </xf>
    <xf numFmtId="3" fontId="15" fillId="8" borderId="1" xfId="4" applyNumberFormat="1" applyFont="1" applyFill="1" applyBorder="1" applyAlignment="1" applyProtection="1">
      <alignment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3" fontId="15" fillId="4" borderId="1" xfId="1" applyNumberFormat="1" applyFont="1" applyFill="1" applyBorder="1" applyAlignment="1">
      <alignment vertical="center"/>
    </xf>
    <xf numFmtId="165" fontId="13" fillId="8" borderId="1" xfId="1" applyNumberFormat="1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vertical="center" wrapText="1"/>
    </xf>
    <xf numFmtId="3" fontId="4" fillId="0" borderId="1" xfId="1" applyNumberFormat="1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horizontal="left" vertical="center" wrapText="1"/>
    </xf>
    <xf numFmtId="3" fontId="15" fillId="0" borderId="1" xfId="1" applyNumberFormat="1" applyFont="1" applyFill="1" applyBorder="1" applyAlignment="1">
      <alignment vertical="center" wrapText="1"/>
    </xf>
    <xf numFmtId="3" fontId="15" fillId="0" borderId="1" xfId="1" applyNumberFormat="1" applyFont="1" applyFill="1" applyBorder="1" applyAlignment="1">
      <alignment horizontal="righ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3" fontId="15" fillId="15" borderId="1" xfId="4" applyNumberFormat="1" applyFont="1" applyFill="1" applyBorder="1" applyAlignment="1" applyProtection="1">
      <alignment vertical="center" wrapText="1"/>
    </xf>
    <xf numFmtId="3" fontId="13" fillId="15" borderId="1" xfId="1" applyNumberFormat="1" applyFont="1" applyFill="1" applyBorder="1" applyAlignment="1">
      <alignment horizontal="right" vertical="center"/>
    </xf>
    <xf numFmtId="165" fontId="13" fillId="15" borderId="1" xfId="1" applyNumberFormat="1" applyFont="1" applyFill="1" applyBorder="1" applyAlignment="1">
      <alignment horizontal="right" vertical="center"/>
    </xf>
    <xf numFmtId="3" fontId="13" fillId="15" borderId="1" xfId="1" applyNumberFormat="1" applyFont="1" applyFill="1" applyBorder="1" applyAlignment="1">
      <alignment vertical="center"/>
    </xf>
    <xf numFmtId="4" fontId="13" fillId="15" borderId="1" xfId="1" applyNumberFormat="1" applyFont="1" applyFill="1" applyBorder="1" applyAlignment="1">
      <alignment horizontal="right" vertical="center"/>
    </xf>
    <xf numFmtId="4" fontId="13" fillId="15" borderId="1" xfId="1" applyNumberFormat="1" applyFont="1" applyFill="1" applyBorder="1" applyAlignment="1">
      <alignment vertical="center"/>
    </xf>
    <xf numFmtId="4" fontId="13" fillId="15" borderId="1" xfId="1" applyNumberFormat="1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center" vertical="center" wrapText="1"/>
    </xf>
    <xf numFmtId="3" fontId="13" fillId="15" borderId="1" xfId="1" applyNumberFormat="1" applyFont="1" applyFill="1" applyBorder="1" applyAlignment="1">
      <alignment vertical="center" wrapText="1"/>
    </xf>
    <xf numFmtId="3" fontId="13" fillId="15" borderId="1" xfId="1" applyNumberFormat="1" applyFont="1" applyFill="1" applyBorder="1" applyAlignment="1">
      <alignment horizontal="right" vertical="center" wrapText="1"/>
    </xf>
    <xf numFmtId="165" fontId="13" fillId="15" borderId="1" xfId="1" applyNumberFormat="1" applyFont="1" applyFill="1" applyBorder="1" applyAlignment="1">
      <alignment vertical="center" wrapText="1"/>
    </xf>
    <xf numFmtId="165" fontId="2" fillId="15" borderId="1" xfId="1" applyNumberFormat="1" applyFont="1" applyFill="1" applyBorder="1" applyAlignment="1">
      <alignment horizontal="left" vertical="center"/>
    </xf>
    <xf numFmtId="3" fontId="13" fillId="15" borderId="3" xfId="1" applyNumberFormat="1" applyFont="1" applyFill="1" applyBorder="1" applyAlignment="1">
      <alignment horizontal="center" vertical="center"/>
    </xf>
    <xf numFmtId="3" fontId="13" fillId="18" borderId="1" xfId="1" applyNumberFormat="1" applyFont="1" applyFill="1" applyBorder="1" applyAlignment="1">
      <alignment vertical="center"/>
    </xf>
    <xf numFmtId="3" fontId="15" fillId="9" borderId="1" xfId="1" applyNumberFormat="1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165" fontId="13" fillId="15" borderId="2" xfId="1" applyNumberFormat="1" applyFont="1" applyFill="1" applyBorder="1" applyAlignment="1">
      <alignment horizontal="center" vertical="center"/>
    </xf>
    <xf numFmtId="165" fontId="13" fillId="15" borderId="5" xfId="1" applyNumberFormat="1" applyFont="1" applyFill="1" applyBorder="1" applyAlignment="1">
      <alignment horizontal="left" vertical="center" wrapText="1"/>
    </xf>
    <xf numFmtId="165" fontId="13" fillId="15" borderId="6" xfId="1" applyNumberFormat="1" applyFont="1" applyFill="1" applyBorder="1" applyAlignment="1">
      <alignment horizontal="left" vertical="center" wrapText="1"/>
    </xf>
    <xf numFmtId="165" fontId="13" fillId="15" borderId="3" xfId="1" applyNumberFormat="1" applyFont="1" applyFill="1" applyBorder="1" applyAlignment="1">
      <alignment horizontal="center" vertical="center"/>
    </xf>
    <xf numFmtId="165" fontId="13" fillId="15" borderId="7" xfId="1" applyNumberFormat="1" applyFont="1" applyFill="1" applyBorder="1" applyAlignment="1">
      <alignment horizontal="left" vertical="center" wrapText="1"/>
    </xf>
    <xf numFmtId="165" fontId="13" fillId="15" borderId="8" xfId="1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10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horizontal="right" vertical="center"/>
    </xf>
    <xf numFmtId="0" fontId="4" fillId="0" borderId="2" xfId="5" applyFont="1" applyFill="1" applyBorder="1" applyAlignment="1">
      <alignment horizontal="left" vertical="center" wrapText="1"/>
    </xf>
    <xf numFmtId="3" fontId="15" fillId="0" borderId="10" xfId="1" applyNumberFormat="1" applyFont="1" applyBorder="1" applyAlignment="1">
      <alignment vertical="center"/>
    </xf>
    <xf numFmtId="0" fontId="4" fillId="0" borderId="4" xfId="5" applyFont="1" applyFill="1" applyBorder="1" applyAlignment="1">
      <alignment horizontal="left" vertical="center" wrapText="1"/>
    </xf>
    <xf numFmtId="3" fontId="15" fillId="8" borderId="10" xfId="1" applyNumberFormat="1" applyFont="1" applyFill="1" applyBorder="1" applyAlignment="1">
      <alignment vertical="center"/>
    </xf>
    <xf numFmtId="4" fontId="2" fillId="0" borderId="11" xfId="1" applyNumberFormat="1" applyFont="1" applyBorder="1" applyAlignment="1">
      <alignment vertical="center"/>
    </xf>
    <xf numFmtId="4" fontId="13" fillId="0" borderId="11" xfId="1" applyNumberFormat="1" applyFont="1" applyBorder="1" applyAlignment="1">
      <alignment vertical="center"/>
    </xf>
    <xf numFmtId="4" fontId="13" fillId="8" borderId="11" xfId="1" applyNumberFormat="1" applyFont="1" applyFill="1" applyBorder="1" applyAlignment="1">
      <alignment vertical="center"/>
    </xf>
    <xf numFmtId="0" fontId="2" fillId="15" borderId="1" xfId="0" applyFont="1" applyFill="1" applyBorder="1" applyAlignment="1">
      <alignment horizontal="left" vertical="center"/>
    </xf>
    <xf numFmtId="0" fontId="4" fillId="0" borderId="3" xfId="5" applyFont="1" applyFill="1" applyBorder="1" applyAlignment="1">
      <alignment horizontal="left" vertical="center" wrapText="1"/>
    </xf>
    <xf numFmtId="0" fontId="2" fillId="8" borderId="0" xfId="0" applyFont="1" applyFill="1" applyAlignment="1">
      <alignment vertical="center"/>
    </xf>
    <xf numFmtId="0" fontId="3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3" fontId="4" fillId="8" borderId="1" xfId="4" applyNumberFormat="1" applyFont="1" applyFill="1" applyBorder="1" applyAlignment="1" applyProtection="1">
      <alignment vertical="center" wrapText="1"/>
    </xf>
    <xf numFmtId="0" fontId="2" fillId="8" borderId="1" xfId="0" applyFont="1" applyFill="1" applyBorder="1" applyAlignment="1">
      <alignment horizontal="left" vertical="center"/>
    </xf>
    <xf numFmtId="3" fontId="2" fillId="8" borderId="1" xfId="1" applyNumberFormat="1" applyFont="1" applyFill="1" applyBorder="1" applyAlignment="1">
      <alignment vertical="center"/>
    </xf>
    <xf numFmtId="165" fontId="13" fillId="15" borderId="1" xfId="1" applyNumberFormat="1" applyFont="1" applyFill="1" applyBorder="1" applyAlignment="1">
      <alignment vertical="center"/>
    </xf>
    <xf numFmtId="165" fontId="13" fillId="15" borderId="1" xfId="1" applyNumberFormat="1" applyFont="1" applyFill="1" applyBorder="1" applyAlignment="1">
      <alignment horizontal="left" vertical="center" wrapText="1"/>
    </xf>
    <xf numFmtId="3" fontId="2" fillId="16" borderId="1" xfId="1" applyNumberFormat="1" applyFont="1" applyFill="1" applyBorder="1" applyAlignment="1">
      <alignment vertical="center"/>
    </xf>
    <xf numFmtId="3" fontId="2" fillId="18" borderId="1" xfId="1" applyNumberFormat="1" applyFont="1" applyFill="1" applyBorder="1" applyAlignment="1">
      <alignment vertical="center"/>
    </xf>
    <xf numFmtId="0" fontId="2" fillId="19" borderId="0" xfId="0" applyFont="1" applyFill="1" applyAlignment="1">
      <alignment vertical="center"/>
    </xf>
    <xf numFmtId="0" fontId="3" fillId="19" borderId="1" xfId="0" applyFont="1" applyFill="1" applyBorder="1" applyAlignment="1">
      <alignment vertical="center"/>
    </xf>
    <xf numFmtId="0" fontId="2" fillId="19" borderId="1" xfId="0" applyFont="1" applyFill="1" applyBorder="1" applyAlignment="1">
      <alignment vertical="center"/>
    </xf>
    <xf numFmtId="165" fontId="2" fillId="19" borderId="1" xfId="1" applyNumberFormat="1" applyFont="1" applyFill="1" applyBorder="1" applyAlignment="1">
      <alignment vertical="center"/>
    </xf>
    <xf numFmtId="3" fontId="2" fillId="19" borderId="1" xfId="1" applyNumberFormat="1" applyFont="1" applyFill="1" applyBorder="1" applyAlignment="1">
      <alignment horizontal="right" vertical="center"/>
    </xf>
    <xf numFmtId="165" fontId="13" fillId="3" borderId="2" xfId="1" applyNumberFormat="1" applyFont="1" applyFill="1" applyBorder="1" applyAlignment="1">
      <alignment horizontal="left" vertical="center"/>
    </xf>
    <xf numFmtId="165" fontId="2" fillId="19" borderId="1" xfId="1" applyNumberFormat="1" applyFont="1" applyFill="1" applyBorder="1" applyAlignment="1">
      <alignment horizontal="right" vertical="center"/>
    </xf>
    <xf numFmtId="9" fontId="2" fillId="19" borderId="1" xfId="2" applyFont="1" applyFill="1" applyBorder="1" applyAlignment="1">
      <alignment vertical="center"/>
    </xf>
    <xf numFmtId="3" fontId="2" fillId="19" borderId="1" xfId="1" applyNumberFormat="1" applyFont="1" applyFill="1" applyBorder="1" applyAlignment="1">
      <alignment vertical="center"/>
    </xf>
    <xf numFmtId="165" fontId="2" fillId="19" borderId="1" xfId="1" applyNumberFormat="1" applyFont="1" applyFill="1" applyBorder="1" applyAlignment="1">
      <alignment horizontal="left" vertical="center" wrapText="1"/>
    </xf>
    <xf numFmtId="4" fontId="2" fillId="19" borderId="1" xfId="1" applyNumberFormat="1" applyFont="1" applyFill="1" applyBorder="1" applyAlignment="1">
      <alignment vertical="center"/>
    </xf>
    <xf numFmtId="165" fontId="2" fillId="19" borderId="1" xfId="1" applyNumberFormat="1" applyFont="1" applyFill="1" applyBorder="1" applyAlignment="1">
      <alignment horizontal="center" vertical="center"/>
    </xf>
    <xf numFmtId="165" fontId="2" fillId="19" borderId="1" xfId="1" applyNumberFormat="1" applyFont="1" applyFill="1" applyBorder="1" applyAlignment="1">
      <alignment horizontal="left" vertical="center"/>
    </xf>
    <xf numFmtId="165" fontId="4" fillId="19" borderId="1" xfId="1" applyNumberFormat="1" applyFont="1" applyFill="1" applyBorder="1" applyAlignment="1">
      <alignment horizontal="left" vertical="center" wrapText="1"/>
    </xf>
    <xf numFmtId="0" fontId="2" fillId="19" borderId="1" xfId="1" applyNumberFormat="1" applyFont="1" applyFill="1" applyBorder="1" applyAlignment="1">
      <alignment horizontal="center" vertical="center" wrapText="1"/>
    </xf>
    <xf numFmtId="0" fontId="2" fillId="19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3" fontId="13" fillId="3" borderId="1" xfId="1" applyNumberFormat="1" applyFont="1" applyFill="1" applyBorder="1" applyAlignment="1">
      <alignment vertical="center"/>
    </xf>
    <xf numFmtId="165" fontId="13" fillId="3" borderId="4" xfId="1" applyNumberFormat="1" applyFont="1" applyFill="1" applyBorder="1" applyAlignment="1">
      <alignment horizontal="left" vertical="center"/>
    </xf>
    <xf numFmtId="9" fontId="13" fillId="3" borderId="1" xfId="2" applyFont="1" applyFill="1" applyBorder="1" applyAlignment="1">
      <alignment vertical="center"/>
    </xf>
    <xf numFmtId="165" fontId="13" fillId="3" borderId="1" xfId="1" applyNumberFormat="1" applyFont="1" applyFill="1" applyBorder="1" applyAlignment="1">
      <alignment horizontal="left" vertical="center" wrapText="1"/>
    </xf>
    <xf numFmtId="4" fontId="13" fillId="3" borderId="1" xfId="1" applyNumberFormat="1" applyFont="1" applyFill="1" applyBorder="1" applyAlignment="1">
      <alignment vertical="center"/>
    </xf>
    <xf numFmtId="165" fontId="13" fillId="3" borderId="1" xfId="1" applyNumberFormat="1" applyFont="1" applyFill="1" applyBorder="1" applyAlignment="1">
      <alignment horizontal="center" vertical="center"/>
    </xf>
    <xf numFmtId="165" fontId="13" fillId="3" borderId="1" xfId="1" applyNumberFormat="1" applyFont="1" applyFill="1" applyBorder="1" applyAlignment="1">
      <alignment horizontal="left" vertical="center"/>
    </xf>
    <xf numFmtId="0" fontId="13" fillId="3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13" fillId="3" borderId="3" xfId="1" applyNumberFormat="1" applyFont="1" applyFill="1" applyBorder="1" applyAlignment="1">
      <alignment horizontal="left" vertical="center"/>
    </xf>
    <xf numFmtId="165" fontId="3" fillId="0" borderId="1" xfId="1" applyNumberFormat="1" applyFont="1" applyFill="1" applyBorder="1" applyAlignment="1">
      <alignment vertical="center"/>
    </xf>
    <xf numFmtId="3" fontId="2" fillId="0" borderId="2" xfId="1" applyNumberFormat="1" applyFont="1" applyFill="1" applyBorder="1" applyAlignment="1">
      <alignment horizontal="right" vertical="center"/>
    </xf>
    <xf numFmtId="165" fontId="2" fillId="0" borderId="2" xfId="1" applyNumberFormat="1" applyFont="1" applyFill="1" applyBorder="1" applyAlignment="1">
      <alignment horizontal="left" vertical="center" wrapText="1"/>
    </xf>
    <xf numFmtId="165" fontId="2" fillId="0" borderId="2" xfId="1" applyNumberFormat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left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65" fontId="13" fillId="0" borderId="4" xfId="1" applyNumberFormat="1" applyFont="1" applyFill="1" applyBorder="1" applyAlignment="1">
      <alignment horizontal="left" vertical="center"/>
    </xf>
    <xf numFmtId="3" fontId="14" fillId="0" borderId="1" xfId="1" applyNumberFormat="1" applyFont="1" applyFill="1" applyBorder="1" applyAlignment="1">
      <alignment horizontal="right" vertical="center"/>
    </xf>
    <xf numFmtId="3" fontId="13" fillId="4" borderId="1" xfId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165" fontId="2" fillId="0" borderId="4" xfId="1" applyNumberFormat="1" applyFont="1" applyFill="1" applyBorder="1" applyAlignment="1">
      <alignment horizontal="left" vertical="center" wrapText="1"/>
    </xf>
    <xf numFmtId="165" fontId="2" fillId="0" borderId="4" xfId="1" applyNumberFormat="1" applyFont="1" applyFill="1" applyBorder="1" applyAlignment="1">
      <alignment horizontal="center" vertical="center"/>
    </xf>
    <xf numFmtId="165" fontId="4" fillId="0" borderId="4" xfId="1" applyNumberFormat="1" applyFont="1" applyFill="1" applyBorder="1" applyAlignment="1">
      <alignment horizontal="left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3" fontId="2" fillId="0" borderId="3" xfId="1" applyNumberFormat="1" applyFont="1" applyFill="1" applyBorder="1" applyAlignment="1">
      <alignment horizontal="right" vertical="center"/>
    </xf>
    <xf numFmtId="165" fontId="2" fillId="0" borderId="3" xfId="1" applyNumberFormat="1" applyFont="1" applyFill="1" applyBorder="1" applyAlignment="1">
      <alignment horizontal="left" vertical="center" wrapText="1"/>
    </xf>
    <xf numFmtId="165" fontId="2" fillId="0" borderId="3" xfId="1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left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65" fontId="14" fillId="0" borderId="1" xfId="1" applyNumberFormat="1" applyFont="1" applyFill="1" applyBorder="1" applyAlignment="1">
      <alignment horizontal="right" vertical="center"/>
    </xf>
    <xf numFmtId="165" fontId="3" fillId="0" borderId="2" xfId="1" applyNumberFormat="1" applyFont="1" applyFill="1" applyBorder="1" applyAlignment="1">
      <alignment horizontal="left" vertical="center" wrapText="1"/>
    </xf>
    <xf numFmtId="165" fontId="3" fillId="0" borderId="4" xfId="1" applyNumberFormat="1" applyFont="1" applyFill="1" applyBorder="1" applyAlignment="1">
      <alignment horizontal="left" vertical="center" wrapText="1"/>
    </xf>
    <xf numFmtId="3" fontId="13" fillId="0" borderId="1" xfId="1" applyNumberFormat="1" applyFont="1" applyFill="1" applyBorder="1" applyAlignment="1" applyProtection="1">
      <alignment horizontal="right" vertical="center"/>
      <protection hidden="1"/>
    </xf>
    <xf numFmtId="165" fontId="3" fillId="0" borderId="3" xfId="1" applyNumberFormat="1" applyFont="1" applyFill="1" applyBorder="1" applyAlignment="1">
      <alignment horizontal="left" vertical="center" wrapText="1"/>
    </xf>
    <xf numFmtId="3" fontId="4" fillId="0" borderId="2" xfId="5" applyNumberFormat="1" applyFont="1" applyFill="1" applyBorder="1" applyAlignment="1">
      <alignment horizontal="left" vertical="center" wrapText="1"/>
    </xf>
    <xf numFmtId="4" fontId="4" fillId="0" borderId="1" xfId="5" applyNumberFormat="1" applyFont="1" applyFill="1" applyBorder="1" applyAlignment="1">
      <alignment horizontal="right" vertical="center" wrapText="1"/>
    </xf>
    <xf numFmtId="3" fontId="4" fillId="0" borderId="4" xfId="5" applyNumberFormat="1" applyFont="1" applyFill="1" applyBorder="1" applyAlignment="1">
      <alignment horizontal="left" vertical="center" wrapText="1"/>
    </xf>
    <xf numFmtId="4" fontId="15" fillId="0" borderId="1" xfId="5" applyNumberFormat="1" applyFont="1" applyFill="1" applyBorder="1" applyAlignment="1">
      <alignment horizontal="right" vertical="center" wrapText="1"/>
    </xf>
    <xf numFmtId="3" fontId="4" fillId="0" borderId="3" xfId="5" applyNumberFormat="1" applyFont="1" applyFill="1" applyBorder="1" applyAlignment="1">
      <alignment horizontal="left" vertical="center" wrapText="1"/>
    </xf>
    <xf numFmtId="9" fontId="13" fillId="19" borderId="1" xfId="2" applyFont="1" applyFill="1" applyBorder="1" applyAlignment="1">
      <alignment vertical="center"/>
    </xf>
    <xf numFmtId="0" fontId="2" fillId="19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/>
    </xf>
    <xf numFmtId="0" fontId="2" fillId="19" borderId="3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/>
    </xf>
    <xf numFmtId="165" fontId="13" fillId="3" borderId="1" xfId="1" applyNumberFormat="1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horizontal="right" vertical="center"/>
    </xf>
    <xf numFmtId="3" fontId="2" fillId="4" borderId="1" xfId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vertical="center"/>
    </xf>
    <xf numFmtId="165" fontId="4" fillId="4" borderId="2" xfId="1" applyNumberFormat="1" applyFont="1" applyFill="1" applyBorder="1" applyAlignment="1">
      <alignment horizontal="left" vertical="center" wrapText="1"/>
    </xf>
    <xf numFmtId="3" fontId="14" fillId="4" borderId="1" xfId="1" applyNumberFormat="1" applyFont="1" applyFill="1" applyBorder="1" applyAlignment="1">
      <alignment horizontal="right" vertical="center"/>
    </xf>
    <xf numFmtId="165" fontId="4" fillId="4" borderId="4" xfId="1" applyNumberFormat="1" applyFont="1" applyFill="1" applyBorder="1" applyAlignment="1">
      <alignment horizontal="left" vertical="center" wrapText="1"/>
    </xf>
    <xf numFmtId="4" fontId="14" fillId="0" borderId="1" xfId="1" applyNumberFormat="1" applyFont="1" applyFill="1" applyBorder="1" applyAlignment="1">
      <alignment vertical="center"/>
    </xf>
    <xf numFmtId="165" fontId="4" fillId="4" borderId="3" xfId="1" applyNumberFormat="1" applyFont="1" applyFill="1" applyBorder="1" applyAlignment="1">
      <alignment horizontal="left" vertical="center" wrapText="1"/>
    </xf>
    <xf numFmtId="165" fontId="13" fillId="0" borderId="2" xfId="1" applyNumberFormat="1" applyFont="1" applyFill="1" applyBorder="1" applyAlignment="1">
      <alignment horizontal="left" vertical="center" wrapText="1"/>
    </xf>
    <xf numFmtId="9" fontId="3" fillId="0" borderId="1" xfId="2" applyFont="1" applyFill="1" applyBorder="1" applyAlignment="1">
      <alignment vertical="center"/>
    </xf>
    <xf numFmtId="165" fontId="13" fillId="0" borderId="4" xfId="1" applyNumberFormat="1" applyFont="1" applyFill="1" applyBorder="1" applyAlignment="1">
      <alignment horizontal="left" vertical="center" wrapText="1"/>
    </xf>
    <xf numFmtId="9" fontId="14" fillId="0" borderId="1" xfId="2" applyFont="1" applyFill="1" applyBorder="1" applyAlignment="1">
      <alignment vertical="center"/>
    </xf>
    <xf numFmtId="165" fontId="13" fillId="0" borderId="3" xfId="1" applyNumberFormat="1" applyFont="1" applyFill="1" applyBorder="1" applyAlignment="1">
      <alignment horizontal="left" vertical="center" wrapText="1"/>
    </xf>
    <xf numFmtId="0" fontId="17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165" fontId="17" fillId="0" borderId="1" xfId="1" applyNumberFormat="1" applyFont="1" applyFill="1" applyBorder="1" applyAlignment="1">
      <alignment vertical="center"/>
    </xf>
    <xf numFmtId="165" fontId="19" fillId="0" borderId="2" xfId="1" applyNumberFormat="1" applyFont="1" applyFill="1" applyBorder="1" applyAlignment="1">
      <alignment horizontal="left" vertical="center" wrapText="1"/>
    </xf>
    <xf numFmtId="3" fontId="17" fillId="0" borderId="1" xfId="1" applyNumberFormat="1" applyFont="1" applyFill="1" applyBorder="1" applyAlignment="1">
      <alignment horizontal="right" vertical="center"/>
    </xf>
    <xf numFmtId="165" fontId="17" fillId="0" borderId="1" xfId="1" applyNumberFormat="1" applyFont="1" applyFill="1" applyBorder="1" applyAlignment="1">
      <alignment horizontal="right" vertical="center"/>
    </xf>
    <xf numFmtId="9" fontId="17" fillId="0" borderId="1" xfId="2" applyFont="1" applyFill="1" applyBorder="1" applyAlignment="1">
      <alignment vertical="center"/>
    </xf>
    <xf numFmtId="3" fontId="17" fillId="0" borderId="1" xfId="1" applyNumberFormat="1" applyFont="1" applyFill="1" applyBorder="1" applyAlignment="1">
      <alignment vertical="center"/>
    </xf>
    <xf numFmtId="3" fontId="17" fillId="0" borderId="1" xfId="1" applyNumberFormat="1" applyFont="1" applyFill="1" applyBorder="1" applyAlignment="1">
      <alignment horizontal="center" vertical="center"/>
    </xf>
    <xf numFmtId="3" fontId="17" fillId="0" borderId="2" xfId="1" applyNumberFormat="1" applyFont="1" applyFill="1" applyBorder="1" applyAlignment="1">
      <alignment horizontal="right" vertical="center"/>
    </xf>
    <xf numFmtId="4" fontId="17" fillId="0" borderId="1" xfId="1" applyNumberFormat="1" applyFont="1" applyFill="1" applyBorder="1" applyAlignment="1">
      <alignment vertical="center"/>
    </xf>
    <xf numFmtId="165" fontId="17" fillId="0" borderId="2" xfId="1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165" fontId="19" fillId="0" borderId="1" xfId="1" applyNumberFormat="1" applyFont="1" applyFill="1" applyBorder="1" applyAlignment="1">
      <alignment vertical="center"/>
    </xf>
    <xf numFmtId="165" fontId="19" fillId="0" borderId="4" xfId="1" applyNumberFormat="1" applyFont="1" applyFill="1" applyBorder="1" applyAlignment="1">
      <alignment horizontal="left" vertical="center" wrapText="1"/>
    </xf>
    <xf numFmtId="3" fontId="19" fillId="0" borderId="1" xfId="1" applyNumberFormat="1" applyFont="1" applyFill="1" applyBorder="1" applyAlignment="1">
      <alignment horizontal="right" vertical="center"/>
    </xf>
    <xf numFmtId="165" fontId="19" fillId="0" borderId="1" xfId="1" applyNumberFormat="1" applyFont="1" applyFill="1" applyBorder="1" applyAlignment="1">
      <alignment horizontal="right" vertical="center"/>
    </xf>
    <xf numFmtId="9" fontId="19" fillId="0" borderId="1" xfId="2" applyFont="1" applyFill="1" applyBorder="1" applyAlignment="1">
      <alignment vertical="center"/>
    </xf>
    <xf numFmtId="3" fontId="19" fillId="0" borderId="1" xfId="1" applyNumberFormat="1" applyFont="1" applyFill="1" applyBorder="1" applyAlignment="1">
      <alignment vertical="center"/>
    </xf>
    <xf numFmtId="3" fontId="17" fillId="0" borderId="4" xfId="1" applyNumberFormat="1" applyFont="1" applyFill="1" applyBorder="1" applyAlignment="1">
      <alignment horizontal="right" vertical="center"/>
    </xf>
    <xf numFmtId="4" fontId="19" fillId="0" borderId="1" xfId="1" applyNumberFormat="1" applyFont="1" applyFill="1" applyBorder="1" applyAlignment="1">
      <alignment vertical="center"/>
    </xf>
    <xf numFmtId="165" fontId="17" fillId="0" borderId="4" xfId="1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1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165" fontId="19" fillId="0" borderId="3" xfId="1" applyNumberFormat="1" applyFont="1" applyFill="1" applyBorder="1" applyAlignment="1">
      <alignment horizontal="left" vertical="center" wrapText="1"/>
    </xf>
    <xf numFmtId="3" fontId="19" fillId="3" borderId="1" xfId="1" applyNumberFormat="1" applyFont="1" applyFill="1" applyBorder="1" applyAlignment="1">
      <alignment vertical="center"/>
    </xf>
    <xf numFmtId="3" fontId="17" fillId="0" borderId="3" xfId="1" applyNumberFormat="1" applyFont="1" applyFill="1" applyBorder="1" applyAlignment="1">
      <alignment horizontal="right" vertical="center"/>
    </xf>
    <xf numFmtId="165" fontId="17" fillId="0" borderId="3" xfId="1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3" xfId="1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165" fontId="13" fillId="0" borderId="2" xfId="1" applyNumberFormat="1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horizontal="center" vertical="center"/>
    </xf>
    <xf numFmtId="165" fontId="13" fillId="0" borderId="4" xfId="1" applyNumberFormat="1" applyFont="1" applyFill="1" applyBorder="1" applyAlignment="1">
      <alignment vertical="center" wrapText="1"/>
    </xf>
    <xf numFmtId="165" fontId="13" fillId="0" borderId="3" xfId="1" applyNumberFormat="1" applyFont="1" applyFill="1" applyBorder="1" applyAlignment="1">
      <alignment vertical="center" wrapText="1"/>
    </xf>
    <xf numFmtId="4" fontId="2" fillId="19" borderId="1" xfId="1" applyNumberFormat="1" applyFont="1" applyFill="1" applyBorder="1" applyAlignment="1">
      <alignment horizontal="right" vertical="center"/>
    </xf>
    <xf numFmtId="4" fontId="13" fillId="3" borderId="1" xfId="1" applyNumberFormat="1" applyFont="1" applyFill="1" applyBorder="1" applyAlignment="1">
      <alignment horizontal="right" vertical="center"/>
    </xf>
    <xf numFmtId="3" fontId="2" fillId="3" borderId="1" xfId="1" applyNumberFormat="1" applyFont="1" applyFill="1" applyBorder="1" applyAlignment="1">
      <alignment horizontal="right" vertical="center"/>
    </xf>
    <xf numFmtId="3" fontId="2" fillId="6" borderId="1" xfId="1" applyNumberFormat="1" applyFont="1" applyFill="1" applyBorder="1" applyAlignment="1">
      <alignment horizontal="right" vertical="center"/>
    </xf>
    <xf numFmtId="165" fontId="2" fillId="6" borderId="1" xfId="1" applyNumberFormat="1" applyFont="1" applyFill="1" applyBorder="1" applyAlignment="1">
      <alignment horizontal="right" vertical="center"/>
    </xf>
    <xf numFmtId="9" fontId="13" fillId="6" borderId="1" xfId="2" applyFont="1" applyFill="1" applyBorder="1" applyAlignment="1">
      <alignment vertical="center"/>
    </xf>
    <xf numFmtId="4" fontId="2" fillId="6" borderId="1" xfId="1" applyNumberFormat="1" applyFont="1" applyFill="1" applyBorder="1" applyAlignment="1">
      <alignment horizontal="right" vertical="center"/>
    </xf>
    <xf numFmtId="165" fontId="2" fillId="6" borderId="1" xfId="1" applyNumberFormat="1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horizontal="left" vertical="center"/>
    </xf>
    <xf numFmtId="0" fontId="13" fillId="10" borderId="2" xfId="0" applyFont="1" applyFill="1" applyBorder="1" applyAlignment="1">
      <alignment horizontal="left" vertical="center"/>
    </xf>
    <xf numFmtId="0" fontId="2" fillId="10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/>
    </xf>
    <xf numFmtId="0" fontId="13" fillId="10" borderId="4" xfId="0" applyFont="1" applyFill="1" applyBorder="1" applyAlignment="1">
      <alignment horizontal="left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0" xfId="0" applyFont="1" applyFill="1" applyAlignment="1">
      <alignment vertical="center"/>
    </xf>
    <xf numFmtId="0" fontId="3" fillId="10" borderId="1" xfId="0" applyFont="1" applyFill="1" applyBorder="1" applyAlignment="1">
      <alignment vertical="center"/>
    </xf>
    <xf numFmtId="0" fontId="2" fillId="10" borderId="1" xfId="0" applyFont="1" applyFill="1" applyBorder="1" applyAlignment="1">
      <alignment vertical="center"/>
    </xf>
    <xf numFmtId="165" fontId="13" fillId="10" borderId="1" xfId="1" applyNumberFormat="1" applyFont="1" applyFill="1" applyBorder="1" applyAlignment="1">
      <alignment vertical="center"/>
    </xf>
    <xf numFmtId="3" fontId="13" fillId="10" borderId="1" xfId="1" applyNumberFormat="1" applyFont="1" applyFill="1" applyBorder="1" applyAlignment="1">
      <alignment horizontal="right" vertical="center"/>
    </xf>
    <xf numFmtId="165" fontId="13" fillId="10" borderId="1" xfId="1" applyNumberFormat="1" applyFont="1" applyFill="1" applyBorder="1" applyAlignment="1">
      <alignment horizontal="right" vertical="center"/>
    </xf>
    <xf numFmtId="9" fontId="13" fillId="10" borderId="1" xfId="2" applyFont="1" applyFill="1" applyBorder="1" applyAlignment="1">
      <alignment vertical="center"/>
    </xf>
    <xf numFmtId="4" fontId="13" fillId="10" borderId="1" xfId="1" applyNumberFormat="1" applyFont="1" applyFill="1" applyBorder="1" applyAlignment="1">
      <alignment horizontal="right" vertical="center"/>
    </xf>
    <xf numFmtId="165" fontId="13" fillId="10" borderId="1" xfId="1" applyNumberFormat="1" applyFont="1" applyFill="1" applyBorder="1" applyAlignment="1">
      <alignment horizontal="right" vertical="center" wrapText="1"/>
    </xf>
    <xf numFmtId="0" fontId="13" fillId="10" borderId="1" xfId="0" applyFont="1" applyFill="1" applyBorder="1" applyAlignment="1">
      <alignment horizontal="left" vertical="center"/>
    </xf>
    <xf numFmtId="165" fontId="3" fillId="10" borderId="1" xfId="0" applyNumberFormat="1" applyFont="1" applyFill="1" applyBorder="1" applyAlignment="1">
      <alignment vertical="center"/>
    </xf>
    <xf numFmtId="165" fontId="2" fillId="10" borderId="1" xfId="0" applyNumberFormat="1" applyFont="1" applyFill="1" applyBorder="1" applyAlignment="1">
      <alignment vertical="center"/>
    </xf>
    <xf numFmtId="0" fontId="13" fillId="10" borderId="3" xfId="0" applyFont="1" applyFill="1" applyBorder="1" applyAlignment="1">
      <alignment horizontal="left" vertical="center"/>
    </xf>
    <xf numFmtId="0" fontId="2" fillId="10" borderId="3" xfId="0" applyFont="1" applyFill="1" applyBorder="1" applyAlignment="1">
      <alignment horizontal="center" vertical="center"/>
    </xf>
    <xf numFmtId="0" fontId="2" fillId="20" borderId="0" xfId="0" applyFont="1" applyFill="1" applyAlignment="1">
      <alignment vertical="center"/>
    </xf>
    <xf numFmtId="0" fontId="3" fillId="20" borderId="1" xfId="0" applyFont="1" applyFill="1" applyBorder="1" applyAlignment="1">
      <alignment vertical="center"/>
    </xf>
    <xf numFmtId="0" fontId="2" fillId="20" borderId="1" xfId="0" applyFont="1" applyFill="1" applyBorder="1" applyAlignment="1">
      <alignment vertical="center"/>
    </xf>
    <xf numFmtId="165" fontId="2" fillId="20" borderId="1" xfId="1" applyNumberFormat="1" applyFont="1" applyFill="1" applyBorder="1" applyAlignment="1">
      <alignment vertical="center"/>
    </xf>
    <xf numFmtId="3" fontId="2" fillId="20" borderId="1" xfId="1" applyNumberFormat="1" applyFont="1" applyFill="1" applyBorder="1" applyAlignment="1">
      <alignment horizontal="right" vertical="center"/>
    </xf>
    <xf numFmtId="165" fontId="2" fillId="20" borderId="1" xfId="1" applyNumberFormat="1" applyFont="1" applyFill="1" applyBorder="1" applyAlignment="1">
      <alignment horizontal="right" vertical="center"/>
    </xf>
    <xf numFmtId="9" fontId="13" fillId="20" borderId="1" xfId="2" applyFont="1" applyFill="1" applyBorder="1" applyAlignment="1">
      <alignment vertical="center"/>
    </xf>
    <xf numFmtId="4" fontId="2" fillId="20" borderId="1" xfId="1" applyNumberFormat="1" applyFont="1" applyFill="1" applyBorder="1" applyAlignment="1">
      <alignment horizontal="right" vertical="center"/>
    </xf>
    <xf numFmtId="165" fontId="2" fillId="20" borderId="1" xfId="1" applyNumberFormat="1" applyFont="1" applyFill="1" applyBorder="1" applyAlignment="1">
      <alignment horizontal="right" vertical="center" wrapText="1"/>
    </xf>
    <xf numFmtId="0" fontId="2" fillId="20" borderId="1" xfId="0" applyFont="1" applyFill="1" applyBorder="1" applyAlignment="1">
      <alignment horizontal="left" vertical="center"/>
    </xf>
    <xf numFmtId="0" fontId="2" fillId="20" borderId="2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20" borderId="3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65" fontId="13" fillId="4" borderId="1" xfId="1" applyNumberFormat="1" applyFont="1" applyFill="1" applyBorder="1" applyAlignment="1">
      <alignment vertical="center"/>
    </xf>
    <xf numFmtId="165" fontId="13" fillId="4" borderId="1" xfId="1" applyNumberFormat="1" applyFont="1" applyFill="1" applyBorder="1" applyAlignment="1">
      <alignment horizontal="right" vertical="center"/>
    </xf>
    <xf numFmtId="9" fontId="13" fillId="4" borderId="1" xfId="2" applyFont="1" applyFill="1" applyBorder="1" applyAlignment="1">
      <alignment vertical="center"/>
    </xf>
    <xf numFmtId="4" fontId="13" fillId="4" borderId="1" xfId="1" applyNumberFormat="1" applyFont="1" applyFill="1" applyBorder="1" applyAlignment="1">
      <alignment horizontal="right" vertical="center"/>
    </xf>
    <xf numFmtId="165" fontId="13" fillId="4" borderId="1" xfId="1" applyNumberFormat="1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left" vertical="center"/>
    </xf>
    <xf numFmtId="165" fontId="3" fillId="4" borderId="1" xfId="0" applyNumberFormat="1" applyFont="1" applyFill="1" applyBorder="1" applyAlignment="1">
      <alignment vertical="center"/>
    </xf>
    <xf numFmtId="165" fontId="2" fillId="4" borderId="1" xfId="0" applyNumberFormat="1" applyFont="1" applyFill="1" applyBorder="1" applyAlignment="1">
      <alignment vertical="center"/>
    </xf>
    <xf numFmtId="167" fontId="13" fillId="4" borderId="1" xfId="2" applyNumberFormat="1" applyFont="1" applyFill="1" applyBorder="1" applyAlignment="1">
      <alignment vertical="center"/>
    </xf>
    <xf numFmtId="0" fontId="13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" fontId="15" fillId="0" borderId="1" xfId="4" applyNumberFormat="1" applyFont="1" applyFill="1" applyBorder="1" applyAlignment="1" applyProtection="1">
      <alignment horizontal="center" vertical="center" wrapText="1"/>
    </xf>
    <xf numFmtId="3" fontId="4" fillId="0" borderId="1" xfId="4" applyNumberFormat="1" applyFont="1" applyFill="1" applyBorder="1" applyAlignment="1" applyProtection="1">
      <alignment horizontal="center" vertical="center" wrapText="1"/>
    </xf>
    <xf numFmtId="3" fontId="15" fillId="0" borderId="1" xfId="4" applyNumberFormat="1" applyFont="1" applyFill="1" applyBorder="1" applyAlignment="1" applyProtection="1">
      <alignment horizontal="center" vertical="center" wrapText="1"/>
    </xf>
    <xf numFmtId="3" fontId="15" fillId="0" borderId="2" xfId="1" applyNumberFormat="1" applyFont="1" applyFill="1" applyBorder="1" applyAlignment="1" applyProtection="1">
      <alignment horizontal="center" vertical="center" wrapText="1"/>
    </xf>
    <xf numFmtId="3" fontId="15" fillId="0" borderId="1" xfId="1" applyNumberFormat="1" applyFont="1" applyFill="1" applyBorder="1" applyAlignment="1" applyProtection="1">
      <alignment horizontal="center" vertical="center" wrapText="1"/>
    </xf>
    <xf numFmtId="3" fontId="21" fillId="0" borderId="1" xfId="4" applyNumberFormat="1" applyFont="1" applyFill="1" applyBorder="1" applyAlignment="1" applyProtection="1">
      <alignment horizontal="center" vertical="center" wrapText="1"/>
    </xf>
    <xf numFmtId="168" fontId="15" fillId="0" borderId="2" xfId="4" applyNumberFormat="1" applyFont="1" applyFill="1" applyBorder="1" applyAlignment="1" applyProtection="1">
      <alignment horizontal="center" vertical="center" wrapText="1"/>
    </xf>
    <xf numFmtId="4" fontId="15" fillId="0" borderId="1" xfId="4" applyNumberFormat="1" applyFont="1" applyFill="1" applyBorder="1" applyAlignment="1" applyProtection="1">
      <alignment horizontal="center" vertical="center" wrapText="1"/>
    </xf>
    <xf numFmtId="3" fontId="15" fillId="2" borderId="2" xfId="4" applyNumberFormat="1" applyFont="1" applyFill="1" applyBorder="1" applyAlignment="1" applyProtection="1">
      <alignment horizontal="center" vertical="center" wrapText="1"/>
    </xf>
    <xf numFmtId="3" fontId="15" fillId="2" borderId="1" xfId="4" applyNumberFormat="1" applyFont="1" applyFill="1" applyBorder="1" applyAlignment="1" applyProtection="1">
      <alignment horizontal="center" vertical="center" wrapText="1"/>
    </xf>
    <xf numFmtId="0" fontId="15" fillId="2" borderId="2" xfId="4" applyFont="1" applyFill="1" applyBorder="1" applyAlignment="1" applyProtection="1">
      <alignment horizontal="center" vertical="center" wrapText="1"/>
    </xf>
    <xf numFmtId="0" fontId="15" fillId="2" borderId="1" xfId="4" applyFont="1" applyFill="1" applyBorder="1" applyAlignment="1" applyProtection="1">
      <alignment horizontal="center" vertical="center" wrapText="1"/>
    </xf>
    <xf numFmtId="3" fontId="15" fillId="0" borderId="3" xfId="1" applyNumberFormat="1" applyFont="1" applyFill="1" applyBorder="1" applyAlignment="1" applyProtection="1">
      <alignment horizontal="center" vertical="center" wrapText="1"/>
    </xf>
    <xf numFmtId="3" fontId="15" fillId="0" borderId="1" xfId="1" applyNumberFormat="1" applyFont="1" applyFill="1" applyBorder="1" applyAlignment="1" applyProtection="1">
      <alignment horizontal="center" vertical="center" wrapText="1"/>
    </xf>
    <xf numFmtId="168" fontId="15" fillId="0" borderId="4" xfId="4" applyNumberFormat="1" applyFont="1" applyFill="1" applyBorder="1" applyAlignment="1" applyProtection="1">
      <alignment horizontal="center" vertical="center" wrapText="1"/>
    </xf>
    <xf numFmtId="4" fontId="15" fillId="0" borderId="1" xfId="4" applyNumberFormat="1" applyFont="1" applyFill="1" applyBorder="1" applyAlignment="1" applyProtection="1">
      <alignment horizontal="center" vertical="center" wrapText="1"/>
    </xf>
    <xf numFmtId="3" fontId="15" fillId="2" borderId="4" xfId="4" applyNumberFormat="1" applyFont="1" applyFill="1" applyBorder="1" applyAlignment="1" applyProtection="1">
      <alignment horizontal="center" vertical="center" wrapText="1"/>
    </xf>
    <xf numFmtId="0" fontId="15" fillId="2" borderId="4" xfId="4" applyFont="1" applyFill="1" applyBorder="1" applyAlignment="1" applyProtection="1">
      <alignment horizontal="center" vertical="center" wrapText="1"/>
    </xf>
    <xf numFmtId="168" fontId="15" fillId="0" borderId="3" xfId="4" applyNumberFormat="1" applyFont="1" applyFill="1" applyBorder="1" applyAlignment="1" applyProtection="1">
      <alignment horizontal="center" vertical="center" wrapText="1"/>
    </xf>
    <xf numFmtId="3" fontId="15" fillId="2" borderId="3" xfId="4" applyNumberFormat="1" applyFont="1" applyFill="1" applyBorder="1" applyAlignment="1" applyProtection="1">
      <alignment horizontal="center" vertical="center" wrapText="1"/>
    </xf>
    <xf numFmtId="3" fontId="15" fillId="0" borderId="11" xfId="4" applyNumberFormat="1" applyFont="1" applyFill="1" applyBorder="1" applyAlignment="1" applyProtection="1">
      <alignment vertical="center" wrapText="1"/>
    </xf>
    <xf numFmtId="3" fontId="15" fillId="0" borderId="10" xfId="4" applyNumberFormat="1" applyFont="1" applyFill="1" applyBorder="1" applyAlignment="1" applyProtection="1">
      <alignment vertical="center" wrapText="1"/>
    </xf>
    <xf numFmtId="3" fontId="15" fillId="0" borderId="11" xfId="4" applyNumberFormat="1" applyFont="1" applyFill="1" applyBorder="1" applyAlignment="1" applyProtection="1">
      <alignment horizontal="center" vertical="center" wrapText="1"/>
    </xf>
    <xf numFmtId="3" fontId="15" fillId="0" borderId="12" xfId="4" applyNumberFormat="1" applyFont="1" applyFill="1" applyBorder="1" applyAlignment="1" applyProtection="1">
      <alignment horizontal="center" vertical="center" wrapText="1"/>
    </xf>
    <xf numFmtId="3" fontId="15" fillId="0" borderId="10" xfId="4" applyNumberFormat="1" applyFont="1" applyFill="1" applyBorder="1" applyAlignment="1" applyProtection="1">
      <alignment horizontal="center" vertical="center" wrapText="1"/>
    </xf>
    <xf numFmtId="0" fontId="15" fillId="2" borderId="3" xfId="4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3" fontId="17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3" fontId="25" fillId="0" borderId="0" xfId="1" applyNumberFormat="1" applyFont="1" applyAlignment="1">
      <alignment horizontal="right" vertical="center"/>
    </xf>
    <xf numFmtId="3" fontId="25" fillId="0" borderId="0" xfId="0" applyNumberFormat="1" applyFont="1" applyAlignment="1">
      <alignment vertical="center"/>
    </xf>
    <xf numFmtId="3" fontId="26" fillId="0" borderId="0" xfId="0" applyNumberFormat="1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</cellXfs>
  <cellStyles count="6">
    <cellStyle name="Normal_формы ПР утвержденные" xfId="4" xr:uid="{D19992D3-FF25-458E-B17C-8D56F48A209B}"/>
    <cellStyle name="КАНДАГАЧ тел3-33-96" xfId="3" xr:uid="{4DD3727A-B7B5-4C59-AA0A-E86440BBE9A6}"/>
    <cellStyle name="Обычный" xfId="0" builtinId="0"/>
    <cellStyle name="Обычный 2" xfId="5" xr:uid="{77EA8172-4FAB-419C-88DF-8F5BE362B585}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8;&#1063;&#1045;&#1058;&#1067;%20&#1087;&#1086;%20&#1080;&#1085;&#1074;&#1077;&#1089;&#1090;&#1091;/&#1054;&#1090;&#1095;&#1077;&#1090;&#1099;%20&#1087;&#1086;%20&#1080;&#1085;&#1074;&#1077;&#1089;&#1090;&#1091;%202018/&#1045;&#1078;&#1077;&#1084;&#1077;&#1089;&#1103;&#1095;&#1085;&#1099;&#1081;%20&#1087;&#1086;%20&#1080;&#1085;&#1074;&#1077;&#1089;&#1090;&#1091;%202018/&#1045;&#1078;&#1077;&#1084;&#1077;&#1089;&#1103;&#1095;&#1085;&#1099;&#1081;%20&#1086;&#1090;&#1095;&#1077;&#1090;%20&#1087;&#1086;%20&#1080;&#1085;&#1074;&#1077;&#1089;&#1090;&#1091;%20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&#1087;&#1086;&#1083;&#1085;&#1099;&#1081;%20&#1086;&#1090;&#1095;&#1077;&#1090;%205%20&#1084;&#1077;&#1089;&#1103;&#1094;&#1077;&#1074;%202017%20&#1075;&#1086;&#1076;%20(&#1056;&#1077;&#1078;&#1080;&#1084;%20&#1089;&#1086;&#1074;&#1084;&#1077;&#1089;&#1090;&#1080;&#1084;&#1086;&#1089;&#1090;&#1080;)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cb008\&#1052;&#1054;&#1055;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Salaries%20-%20CHUY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Documents%20and%20Settings\marcel\Desktop\LE%2005%20attach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755%20Depreciation%20Analytical%20Testing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Marcel\Personal\DOCUME~1\MARCEL~1.REE\LOCALS~1\Temp\Fsl\Loan\Loan%20Movements%20PROCESSED%20-%20NOT%20COMPLET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Provisions,%20HBII\old\FS%2001%20March\Current\REE691\Audit%201999\August%201999\RKTF\Special%20Report%20Eng\HH-AUDIT\OLY017\DIAGNOST\ENGLISCH\OLYMPUS\ANLAGE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Financial%20Reporting\Lyazzat\Monthend\2002\March\AR\AR%20to%20be%20replace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ukhamadiyarovIF\Local%20Settings\Temporary%20Internet%20Files\OLK70A\reporting%20package%2031.12.04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DOCUME~1\N-DZHA~1\LOCALS~1\Temp\C.Lotus.Notes.Data\rUMG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Z-Rakhmankulova\&#1052;&#1086;&#1080;%20&#1076;&#1086;&#1082;&#1091;&#1084;&#1077;&#1085;&#1090;&#1099;\&#1042;&#1085;.%20&#1087;&#1086;&#1083;&#1086;&#1078;&#1077;&#1085;&#1080;&#1103;\&#1059;&#1095;&#1077;&#1090;&#1085;&#1072;&#1103;%20&#1087;&#1086;&#1083;&#1080;&#1090;&#1080;&#1082;&#1072;\&#1055;&#1083;&#1072;&#1085;%20&#1089;&#1095;&#1077;&#1090;&#1086;&#1074;\Kmg_57s%2024%2002%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kuanbay\My%20Documents\PKI%20M&amp;T\UK\Master%20Consolidated%20HHL%20January%20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Gord&amp;Datta\EXCEL\Monthend\2002\August\HKM%20SA%20August\Crude%20purchase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CAS%20-%20&#1057;&#1087;&#1080;&#1089;&#1086;&#1082;%20&#1080;&#1085;&#1092;&#1086;&#1088;&#1084;&#1072;&#1094;&#1080;&#1080;%20&#1076;&#1083;&#1103;%20&#1072;&#1091;&#1076;&#1080;&#1090;&#1072;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Marcel\Stansun\Files%20for%20Evegeniy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Gord&amp;Datta\EXCEL\Monthend\2001\May\Analysis\G&amp;A%20analysis_Marc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6.111\&#1080;&#1087;$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160%20KTZH%20Client%20participation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-PL\NBPL\_F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Production%20Cost%20-%20Final%20Analytical%20Review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_WORK\Finca\Kyrg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4%20Administrative%20expense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2%20Test%20of%20details%20CO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udit\Audit%20Files\KazTelecom%20US%20GAAP%202002\FINAL%20AUDIT%2031-12-2002\CAS%20FOR%20FINAL\BANK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.6%20Inventory%20Custody%20services%20-%20El%20Munai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6.111\&#1080;&#1087;$\Documents%20and%20Settings\User\&#1056;&#1072;&#1073;&#1086;&#1095;&#1080;&#1081;%20&#1089;&#1090;&#1086;&#1083;\2006%20&#1075;&#1086;&#1076;\2006&#1075;\2216.2%20&#1082;&#1086;&#1085;&#1089;%20&#1060;&#1054;%20JSC%20KTZh%20-%20for%20client%20RUS%20-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-PL/NBPL/_F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40%20Long-Term%20Debt%20testing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Substantive%20Analytical%20Review%20-%20Disaggregated%20Pop.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NOS\Monthlyreports\Dec'01\ShNOS%20December%20Financial%20Package'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Receivable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%20PP&amp;E%20by%20branches%20-%20%20Final%20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3%20FA%20Movement%20Schedule%20-%20BALYKCHY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92;&#1086;&#1088;&#1084;&#1099;%20&#1075;&#1086;&#1076;%20&#1086;&#1090;&#1095;%202002\WINDOWS\EXCEL\MY_PROG\DWR_PRG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.Turehanova\&#1056;&#1072;&#1073;&#1086;&#1095;&#1080;&#1081;%20&#1089;&#1090;&#1086;&#1083;\&#1050;&#1052;&#1043;%20&#1056;&#1044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6.111\&#1080;&#1087;$\&#1050;&#1091;&#1079;&#1077;&#1085;&#1103;&#1090;&#1082;&#1080;&#1085;&#1072;%20&#1053;\&#1052;&#1086;&#1080;%20&#1076;&#1086;&#1082;&#1091;&#1084;&#1077;&#1085;&#1090;&#1099;\&#1089;&#1084;&#1077;&#1090;&#1099;,%20&#1090;&#1072;&#1088;&#1080;&#1092;&#1099;%20,%20&#1082;&#1072;&#1083;&#1100;&#1082;&#1091;&#1083;&#1103;&#1094;&#1080;&#1080;\&#1087;&#1088;&#1086;&#1077;&#1082;&#1090;&#1099;%20&#1090;&#1072;&#1088;&#1080;&#1092;&#1086;&#1074;%20&#1085;&#1072;%202005%20&#1075;&#1086;&#1076;%20&#1076;&#1083;&#1103;%20&#1089;&#1091;&#1073;&#1095;&#1080;&#1082;&#1086;&#1074;\&#1087;&#1088;&#1086;&#1077;&#1082;&#1090;&#1099;\&#1055;&#1088;&#1086;&#1077;&#1082;&#1090;%20&#1090;&#1072;&#1088;&#1080;&#1092;&#1072;%20&#1085;&#1072;%20&#1074;&#1086;&#1076;&#1091;%20&#1053;&#1055;&#1057;%20&#1048;&#1085;&#1076;&#1077;&#1088;%20&#1085;&#1072;%202005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6.111\&#1080;&#1087;$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6-2010&#1075;&#1075;\&#1073;&#1080;&#1079;&#1085;&#1077;&#1089;-&#1087;&#1083;&#1072;&#1085;\&#1057;&#1074;&#1086;&#1076;&#1085;&#1099;&#1081;%20&#1073;&#1080;&#1079;&#1085;&#1077;&#1089;-&#1087;&#1083;&#1072;&#1085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64.160\invest\B-PL\NBPL\_FE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72;&#1082;&#1089;&#1072;&#1090;\&#1056;&#1072;&#1073;&#1086;&#1090;&#1072;\!&#1055;&#1088;&#1086;&#1077;&#1082;&#1090;&#1099;\&#1060;&#1080;&#1085;&#1072;&#1085;&#1089;&#1086;&#1074;&#1099;&#1077;%20&#1080;&#1085;&#1089;&#1090;&#1088;&#1091;&#1084;&#1077;&#1085;&#1090;&#1099;\&#1060;&#1080;&#1085;&#1072;&#1085;&#1089;&#1086;&#1074;&#1099;&#1077;%20&#1080;&#1085;&#1089;&#1090;&#1088;&#1091;&#1084;&#1077;&#1085;&#1090;&#1099;\&#1054;&#1090;&#1082;&#1088;&#1099;&#1090;&#1072;&#1103;%20&#1042;&#1055;%20&#1085;&#1072;%2001.01.09\&#1044;&#1072;&#1085;&#1085;&#1099;&#1077;\&#1060;&#1086;&#1088;&#1084;&#1072;&#1047;&#1072;&#1081;&#1084;&#1099;&#1043;&#1088;&#1091;&#1087;&#1087;&#1072;&#1050;&#1058;&#1046;-311208(15.01.2009)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A%20roll-forward%20&amp;%20testing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-Abilov\Local%20Settings\Temporary%20Internet%20Files\OLK12E\&#1060;&#1086;&#1088;&#1084;&#1072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6.111\&#1080;&#1087;$\DOCUME~1\1\LOCALS~1\Temp\notes61B3DA\1.%20M_01_Reporting%20Pack%20v%201.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6.111\&#1080;&#1087;$\Documents%20and%20Settings\user\Local%20Settings\Temporary%20Internet%20Files\Content.IE5\OTK6MW8D\4.%20Y_01_Reporting%20Pack%20v.1.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PUBLIC\Documents%20and%20Settings\marcel\Desktop\LE%2005%20attach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18 (опер)"/>
      <sheetName val="фев18 (опер)"/>
      <sheetName val="март18 (опер)"/>
      <sheetName val="март18 (факт)"/>
      <sheetName val="апр18 (опер)"/>
      <sheetName val="май18 (опер)"/>
      <sheetName val="июнь18 (опер)"/>
      <sheetName val="июнь18 (факт)"/>
      <sheetName val="июль18 (опер)"/>
      <sheetName val="авг18 (опер)"/>
      <sheetName val="сент18 (опер)"/>
      <sheetName val="сент18 (факт)"/>
      <sheetName val="окт18 (опер)02.11"/>
      <sheetName val="окт18 (опер)05.11"/>
      <sheetName val="нояб18 (опер)05.12"/>
      <sheetName val="дек18 (опер)"/>
      <sheetName val="дек18 (факт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оптимизации"/>
      <sheetName val="после оптимизации"/>
      <sheetName val="таблицы"/>
      <sheetName val="Лист2"/>
      <sheetName val="Лист в полный отчет 5 месяцев 2"/>
    </sheetNames>
    <definedNames>
      <definedName name="as"/>
      <definedName name="CompOt"/>
      <definedName name="CompRas"/>
      <definedName name="compras1"/>
      <definedName name="ddd"/>
      <definedName name="det"/>
      <definedName name="ew"/>
      <definedName name="F"/>
      <definedName name="fg"/>
      <definedName name="k"/>
      <definedName name="Njkf"/>
      <definedName name="АААААААА"/>
      <definedName name="ам"/>
      <definedName name="ап"/>
      <definedName name="апп"/>
      <definedName name="ас"/>
      <definedName name="баланс"/>
      <definedName name="БО5"/>
      <definedName name="в"/>
      <definedName name="в23ё"/>
      <definedName name="вв"/>
      <definedName name="гульсум"/>
      <definedName name="е"/>
      <definedName name="знач"/>
      <definedName name="й"/>
      <definedName name="йй"/>
      <definedName name="кассовый"/>
      <definedName name="ке"/>
      <definedName name="копия"/>
      <definedName name="КТЖ"/>
      <definedName name="л"/>
      <definedName name="Макрос1"/>
      <definedName name="мым"/>
      <definedName name="о"/>
      <definedName name="Подготовка_к_печати_и_сохранение0710"/>
      <definedName name="пол"/>
      <definedName name="ппп"/>
      <definedName name="пппп"/>
      <definedName name="пр"/>
      <definedName name="рп"/>
      <definedName name="рррр"/>
      <definedName name="с"/>
      <definedName name="Свод"/>
      <definedName name="Сводный_баланс_н_п_с"/>
      <definedName name="сс"/>
      <definedName name="сссс"/>
      <definedName name="ссы"/>
      <definedName name="у"/>
      <definedName name="ук"/>
      <definedName name="Флажок16_Щелкнуть"/>
      <definedName name="ц"/>
      <definedName name="цу"/>
      <definedName name="цц"/>
      <definedName name="шщрзгшрз"/>
      <definedName name="щ"/>
      <definedName name="ътх"/>
      <definedName name="ыв"/>
      <definedName name="ып"/>
      <definedName name="ыыы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Содержание"/>
      <sheetName val="XREF"/>
      <sheetName val="д_7_001"/>
      <sheetName val="Добыча нефти4"/>
      <sheetName val="поставка сравн13"/>
      <sheetName val="100 за 6 месяцев 2003 года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А_Газ"/>
      <sheetName val="ФП"/>
      <sheetName val="list"/>
      <sheetName val="AVANCT caissier"/>
      <sheetName val="Destinataire caissier"/>
      <sheetName val="PFA caissier"/>
      <sheetName val="ДС МЗК"/>
      <sheetName val="Начисления процентов"/>
      <sheetName val="Накл"/>
      <sheetName val="ОТиТБ"/>
      <sheetName val="Форма2"/>
      <sheetName val="Форма1"/>
      <sheetName val="summary"/>
      <sheetName val="Предпосыл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"/>
      <sheetName val="Salary test"/>
      <sheetName val="XREF"/>
      <sheetName val="Tickmarks"/>
      <sheetName val="Threshold Table"/>
      <sheetName val="д.7.001"/>
      <sheetName val="summary"/>
      <sheetName val="Cust acc 2003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Anlagevermögen"/>
      <sheetName val="ТМЗ-6"/>
      <sheetName val="Март"/>
      <sheetName val="Сентябрь"/>
      <sheetName val="Квартал"/>
      <sheetName val="Январь"/>
      <sheetName val="Декабрь"/>
      <sheetName val="Ноябрь"/>
      <sheetName val="Datasheet"/>
      <sheetName val="4"/>
      <sheetName val="Mvnt"/>
      <sheetName val="Disclosure"/>
      <sheetName val="Содержание"/>
      <sheetName val="CMA Calculations- R Factor"/>
      <sheetName val="CMA Calculations- Figure 5440.1"/>
      <sheetName val="KEGOC - Global"/>
      <sheetName val="Sarbai MES"/>
      <sheetName val="九九年各月"/>
      <sheetName val="Бонды стр.341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 (DM)"/>
      <sheetName val="Prov (USD)"/>
      <sheetName val="obs NTM "/>
      <sheetName val="Obs cig"/>
      <sheetName val="Str costs"/>
      <sheetName val="Anlagevermögen"/>
      <sheetName val="Threshold Table"/>
      <sheetName val="Dictionaries"/>
      <sheetName val="2210900-Aug"/>
      <sheetName val="M-100"/>
      <sheetName val="#ССЫЛКА"/>
      <sheetName val="LE 05 attachment"/>
      <sheetName val="Содержание"/>
      <sheetName val="misc"/>
      <sheetName val="Info"/>
      <sheetName val="CMA Calculations- Figure 5440.1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L-1"/>
      <sheetName val="2.2 ОтклОТМ"/>
      <sheetName val="1.3.2 ОТМ"/>
      <sheetName val="Plrap"/>
      <sheetName val="Plsum"/>
      <sheetName val="Pladj"/>
      <sheetName val="FES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Anlagevermögen"/>
      <sheetName val="1NK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свод"/>
      <sheetName val="группа"/>
      <sheetName val="Расчеты"/>
      <sheetName val="Данные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2БО"/>
      <sheetName val="Sheet1"/>
      <sheetName val="VLOOKUP"/>
      <sheetName val="INPUTMASTER"/>
      <sheetName val="Ввод"/>
      <sheetName val="Capex"/>
      <sheetName val="Assump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Cash CCI Detail"/>
      <sheetName val="IIb P_L short"/>
      <sheetName val="IV REVENUE  F_B"/>
      <sheetName val="Параметры"/>
      <sheetName val="TERMS"/>
      <sheetName val="Sensitivity"/>
      <sheetName val="Threshold Table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БРК 1"/>
      <sheetName val="БРК 2"/>
      <sheetName val="БРК 3"/>
      <sheetName val="Управление"/>
      <sheetName val="ГБРК"/>
      <sheetName val="Произв. затраты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heet2"/>
      <sheetName val="Hidden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Prelim Cost"/>
      <sheetName val="FA register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Dictionaries"/>
      <sheetName val="Range data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sheet"/>
      <sheetName val="Threshold"/>
      <sheetName val="Tickmarks"/>
      <sheetName val="misc"/>
      <sheetName val="Info"/>
      <sheetName val="Movements"/>
      <sheetName val="Disclosure"/>
      <sheetName val="Anlagevermögen"/>
      <sheetName val="П_макросы"/>
      <sheetName val="Test of FA Installation"/>
      <sheetName val="Additions"/>
      <sheetName val="Rollforward"/>
      <sheetName val="FAR 04"/>
      <sheetName val="PP&amp;E mvt for 2003"/>
      <sheetName val="Собственный капитал"/>
      <sheetName val="9-1"/>
      <sheetName val="4"/>
      <sheetName val="1-1"/>
      <sheetName val="1"/>
      <sheetName val="д.7.001"/>
      <sheetName val="XREF"/>
      <sheetName val="Movement"/>
      <sheetName val="% threshhold(salary)"/>
      <sheetName val="P&amp;L"/>
      <sheetName val="Provisions"/>
      <sheetName val="breakdown"/>
      <sheetName val="COS calculation"/>
      <sheetName val="Spreadsheet # 2"/>
      <sheetName val="HideSheet"/>
      <sheetName val="База"/>
      <sheetName val="Worksheet in (C) 8755 Depreciat"/>
      <sheetName val="7"/>
      <sheetName val="10"/>
      <sheetName val="Список документов"/>
      <sheetName val="Hidden"/>
      <sheetName val="Sheet1"/>
      <sheetName val="Форма2"/>
      <sheetName val="Курсы"/>
      <sheetName val="ВСДС_1 (MAIN)"/>
      <sheetName val="Dictionaries"/>
    </sheetNames>
    <sheetDataSet>
      <sheetData sheetId="0">
        <row r="16">
          <cell r="G16">
            <v>4073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FS-97"/>
      <sheetName val="КР з.ч"/>
      <sheetName val="misc"/>
      <sheetName val="Anlagevermögen"/>
      <sheetName val="$ IS"/>
      <sheetName val="Income Statement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V-Überleitung"/>
      <sheetName val="Anlagevermögen"/>
      <sheetName val="Anlageverm?gen"/>
      <sheetName val="FS-97"/>
      <sheetName val="GAAP TB 30.09.01  detail p&amp;l"/>
      <sheetName val="Планы"/>
      <sheetName val="$ IS"/>
      <sheetName val="290"/>
      <sheetName val="05"/>
      <sheetName val="PIT&amp;PP(2)"/>
      <sheetName val="fish"/>
      <sheetName val="D_Opex"/>
      <sheetName val="std tabel"/>
      <sheetName val="July_03_Pg8"/>
      <sheetName val="Opening"/>
      <sheetName val="по связ карточки"/>
      <sheetName val="CPI"/>
      <sheetName val="I-Index"/>
      <sheetName val="PIT&amp;PP"/>
      <sheetName val="Список документов"/>
      <sheetName val="7"/>
      <sheetName val="10"/>
      <sheetName val="1"/>
      <sheetName val="ANLAGEN"/>
      <sheetName val="Reference"/>
      <sheetName val="Production_Ref Q-1-3"/>
      <sheetName val="WBS elements RS-v.02A"/>
      <sheetName val="2.2 ОтклОТМ"/>
      <sheetName val="1.3.2 ОТМ"/>
      <sheetName val="Предпр"/>
      <sheetName val="ЦентрЗатр"/>
      <sheetName val="ЕдИзм"/>
      <sheetName val="КР материалы"/>
      <sheetName val="Курс.разн КТЖ"/>
      <sheetName val="Anlageverm_gen"/>
      <sheetName val="Info"/>
      <sheetName val="Links"/>
      <sheetName val="Lead"/>
      <sheetName val="plan"/>
      <sheetName val="Настройка"/>
      <sheetName val="Pro Forma"/>
      <sheetName val="Inputs"/>
      <sheetName val="Threshold Table"/>
      <sheetName val="INTRODUC"/>
      <sheetName val="General"/>
      <sheetName val="Eqty"/>
      <sheetName val="J-55"/>
      <sheetName val="I-20"/>
      <sheetName val="Sheet1"/>
      <sheetName val="Sheet2"/>
      <sheetName val="I-100"/>
      <sheetName val="I-200"/>
      <sheetName val="I-300"/>
      <sheetName val="I-400"/>
      <sheetName val="Лист2"/>
      <sheetName val="G-80"/>
      <sheetName val="Облигации Министерства финансов"/>
      <sheetName val="Tabeller"/>
      <sheetName val="База"/>
      <sheetName val="Random Report"/>
      <sheetName val="Sheet3"/>
      <sheetName val="SMSTemp"/>
      <sheetName val="Бюджет"/>
      <sheetName val="XLR_NoRangeSheet"/>
      <sheetName val="Index list"/>
      <sheetName val="NIR-1&amp;2"/>
      <sheetName val="NIR-3"/>
      <sheetName val="NIR-4"/>
      <sheetName val="NIR-5"/>
      <sheetName val="NIR-6"/>
      <sheetName val="NIR-7"/>
      <sheetName val="NIR-10"/>
      <sheetName val="NIR-17"/>
      <sheetName val="NIR-18"/>
      <sheetName val="NIR 19"/>
      <sheetName val="NIR 20"/>
      <sheetName val="NIR 21"/>
      <sheetName val="NIR 22"/>
      <sheetName val="NIR 23"/>
      <sheetName val="NIR 24"/>
      <sheetName val="NBT-BS"/>
      <sheetName val="G-50 (GL)"/>
      <sheetName val="NIR"/>
      <sheetName val="Settings"/>
      <sheetName val="п 15"/>
      <sheetName val="tr"/>
      <sheetName val="Hidden"/>
      <sheetName val="д.7.001"/>
      <sheetName val="Rollforward {pbe}"/>
      <sheetName val="Allow - SR&amp;D"/>
    </sheetNames>
    <sheetDataSet>
      <sheetData sheetId="0">
        <row r="1">
          <cell r="Z1" t="str">
            <v>EXHIBIT 3</v>
          </cell>
        </row>
      </sheetData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"/>
      <sheetName val="Links"/>
      <sheetName val="Форма2"/>
      <sheetName val="Anlagevermögen"/>
      <sheetName val="FS-97"/>
      <sheetName val="Hidden"/>
      <sheetName val="Форма1"/>
      <sheetName val="ВОЛС"/>
      <sheetName val="SA Procedures"/>
      <sheetName val="1NK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Links"/>
      <sheetName val="ВОЛС"/>
      <sheetName val="FES"/>
      <sheetName val="Содержание"/>
      <sheetName val="SA Procedures"/>
      <sheetName val="MetaData"/>
      <sheetName val="57_1NKs плюс АА_Н"/>
      <sheetName val="Info"/>
      <sheetName val="д.7.001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name"/>
      <sheetName val="PROGNOS"/>
      <sheetName val="свод"/>
      <sheetName val="группа"/>
      <sheetName val="5R"/>
      <sheetName val="LBS Reminder"/>
      <sheetName val="5"/>
      <sheetName val="Anlagevermögen"/>
      <sheetName val="Sample"/>
      <sheetName val="Норм потери_БУ"/>
      <sheetName val="Статьи"/>
      <sheetName val="OffshoreBatch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Check"/>
      <sheetName val="Group"/>
      <sheetName val="BS-IS"/>
      <sheetName val="CFS"/>
      <sheetName val="Eq"/>
      <sheetName val="Expenses"/>
      <sheetName val="Income tax"/>
      <sheetName val="FA"/>
      <sheetName val="LTI"/>
      <sheetName val="NCA"/>
      <sheetName val="Inventory"/>
      <sheetName val="Taxes receivable"/>
      <sheetName val="AR"/>
      <sheetName val="Other RP"/>
      <sheetName val="Other RP loans"/>
      <sheetName val="STI"/>
      <sheetName val="Loans"/>
      <sheetName val="Unutilised loans"/>
      <sheetName val="SA"/>
      <sheetName val="Restr tax"/>
      <sheetName val="FLL"/>
      <sheetName val="Other LTL"/>
      <sheetName val="AP"/>
      <sheetName val="Taxes payable"/>
      <sheetName val="Capex"/>
      <sheetName val="Guaranties"/>
      <sheetName val="Commitments"/>
      <sheetName val="Sub events"/>
      <sheetName val="Форма2"/>
      <sheetName val="ЛСЦ начисленное на 31.12.08"/>
      <sheetName val="ЛЛизинг начис. на 31.12.08"/>
      <sheetName val="Additions_Disposals"/>
      <sheetName val="Ôîðìà2"/>
      <sheetName val="Hidden"/>
      <sheetName val="1"/>
      <sheetName val="2.2 ОтклОТМ"/>
      <sheetName val="1.3.2 ОТМ"/>
      <sheetName val="Предпр"/>
      <sheetName val="ЦентрЗатр"/>
      <sheetName val="ЕдИзм"/>
      <sheetName val="Production_Ref Q-1-3"/>
      <sheetName val="GAAP TB 31.12.01  detail p&amp;l"/>
      <sheetName val="Info"/>
      <sheetName val="GAAP TB 30.09.01  detail p&amp;l"/>
      <sheetName val="FA Movement Kyrg"/>
      <sheetName val="FES"/>
      <sheetName val="PP&amp;E mvt for 2003"/>
      <sheetName val="Список документов"/>
      <sheetName val="Analytics"/>
      <sheetName val="Собственный капитал"/>
      <sheetName val="Anlagevermögen"/>
      <sheetName val="Livestock"/>
      <sheetName val="FA Movement "/>
      <sheetName val="depreciation testing"/>
      <sheetName val="Movement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Содержание"/>
      <sheetName val="Captions"/>
      <sheetName val="Форма2"/>
      <sheetName val="6НК-cт.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Cover"/>
      <sheetName val="3НК"/>
      <sheetName val="12июля"/>
      <sheetName val="Links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Info"/>
      <sheetName val="из_сем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д.7.001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Паспорт"/>
      <sheetName val="1NK"/>
      <sheetName val="4NK"/>
      <sheetName val="ЦентрЗатр"/>
      <sheetName val="ЕдИзм"/>
      <sheetName val="Import01"/>
      <sheetName val="Предпр"/>
      <sheetName val="rUMG"/>
      <sheetName val="Capex"/>
      <sheetName val="2.2 ОтклОТМ"/>
      <sheetName val="1.3.2 ОТМ"/>
      <sheetName val="из сем"/>
      <sheetName val="Comp"/>
      <sheetName val="7.1"/>
      <sheetName val="Dictionaries"/>
      <sheetName val="FES"/>
      <sheetName val="Форма2"/>
      <sheetName val="Comp06"/>
      <sheetName val="Graph"/>
      <sheetName val="Hidden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Список документов"/>
      <sheetName val="7"/>
      <sheetName val="10"/>
      <sheetName val="1"/>
      <sheetName val="Links"/>
      <sheetName val="ЛСЦ начисленное на 31.12.08"/>
      <sheetName val="ЛЛизинг начис. на 31.12.08"/>
      <sheetName val="МодельППП (Свод)"/>
      <sheetName val="FS-97"/>
      <sheetName val="KAZAK RECO ST 99"/>
      <sheetName val="ВОЛС"/>
      <sheetName val="SA Procedures"/>
      <sheetName val="MetaData"/>
      <sheetName val="2_2 ОтклОТМ"/>
      <sheetName val="1_3_2 ОТМ"/>
      <sheetName val="P9-BS by Co"/>
      <sheetName val="Catalogue"/>
      <sheetName val="ОТиТБ"/>
      <sheetName val="объемные показатели с доходами"/>
      <sheetName val="XREF"/>
      <sheetName val="Пр2"/>
      <sheetName val="Info"/>
      <sheetName val="2_2_ОтклОТМ"/>
      <sheetName val="1_3_2_ОТМ"/>
      <sheetName val="из_сем"/>
      <sheetName val="7_1"/>
      <sheetName val="KAZAK_RECO_ST_99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P9-BS_by_Co"/>
      <sheetName val="2_2_ОтклОТМ1"/>
      <sheetName val="1_3_2_ОТМ1"/>
      <sheetName val="Список_документов"/>
      <sheetName val="ЛСЦ_начисленное_на_31_12_08"/>
      <sheetName val="ЛЛизинг_начис__на_31_12_08"/>
      <sheetName val="МодельППП_(Свод)"/>
      <sheetName val="из_сем1"/>
      <sheetName val="2_2_ОтклОТМ2"/>
      <sheetName val="1_3_2_ОТМ2"/>
      <sheetName val="7_11"/>
      <sheetName val="18_1"/>
      <sheetName val="08_1"/>
      <sheetName val="11_1"/>
      <sheetName val="14_1"/>
      <sheetName val="15_1"/>
      <sheetName val="05_1"/>
      <sheetName val="09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KAZAK_RECO_ST_991"/>
      <sheetName val="P9-BS_by_Co1"/>
      <sheetName val="2_2_ОтклОТМ3"/>
      <sheetName val="1_3_2_ОТМ3"/>
      <sheetName val="Список_документов1"/>
      <sheetName val="ЛСЦ_начисленное_на_31_12_081"/>
      <sheetName val="ЛЛизинг_начис__на_31_12_081"/>
      <sheetName val="МодельППП_(Свод)1"/>
      <sheetName val="SA_Procedures"/>
      <sheetName val="Loaded"/>
      <sheetName val="ВСДС_1 (MAIN)"/>
      <sheetName val="канат.прод."/>
      <sheetName val="2_2_ОтклОТМ4"/>
      <sheetName val="1_3_2_ОТМ4"/>
      <sheetName val="из_сем2"/>
      <sheetName val="7_12"/>
      <sheetName val="KAZAK_RECO_ST_992"/>
      <sheetName val="18_2"/>
      <sheetName val="08_2"/>
      <sheetName val="11_2"/>
      <sheetName val="14_2"/>
      <sheetName val="15_2"/>
      <sheetName val="05_2"/>
      <sheetName val="09_2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P9-BS_by_Co2"/>
      <sheetName val="2_2_ОтклОТМ5"/>
      <sheetName val="1_3_2_ОТМ5"/>
      <sheetName val="Список_документов2"/>
      <sheetName val="ЛСЦ_начисленное_на_31_12_082"/>
      <sheetName val="ЛЛизинг_начис__на_31_12_082"/>
      <sheetName val="МодельППП_(Свод)2"/>
      <sheetName val="SA_Procedures1"/>
      <sheetName val="канат_прод_"/>
      <sheetName val="TB"/>
      <sheetName val="6НК-cт."/>
      <sheetName val="Anlagevermögen"/>
      <sheetName val="14.1.2.2.(Услуги связи)"/>
      <sheetName val="#ССЫЛКА"/>
      <sheetName val="поставка сравн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Алгоритм"/>
      <sheetName val="Паспорт"/>
      <sheetName val="1.1 Сценарий"/>
      <sheetName val="Поставки"/>
      <sheetName val="1.2 Произ-во"/>
      <sheetName val="2.1 КВЛ"/>
      <sheetName val="2.2 Займы"/>
      <sheetName val="2.3 Налоги"/>
      <sheetName val="2.4 Оплата труда"/>
      <sheetName val="3.1 Доходы"/>
      <sheetName val="3.2 Себестоимость"/>
      <sheetName val="3.3 Расходы периода"/>
      <sheetName val="4.1 Импорт"/>
      <sheetName val="4.2 Импортозамещение"/>
      <sheetName val="4.3 Экология"/>
      <sheetName val="4.4 КСКМ"/>
      <sheetName val="4.5 Инновации"/>
      <sheetName val="Cash_All"/>
      <sheetName val="Dir_Cash"/>
      <sheetName val="Dir_Cash (2)"/>
      <sheetName val="Indir_Cash"/>
      <sheetName val="Indir_Cash (2)"/>
      <sheetName val="1NK"/>
      <sheetName val="2NK"/>
      <sheetName val="3NK"/>
      <sheetName val="4NK"/>
      <sheetName val="5NK"/>
      <sheetName val="6NK"/>
      <sheetName val="ЦентрЗатр"/>
      <sheetName val="ЕдИзм"/>
      <sheetName val="Предпр"/>
      <sheetName val="2.2 ОтклОТМ"/>
      <sheetName val="1.3.2 ОТМ"/>
      <sheetName val="Форма2"/>
      <sheetName val="Прочие "/>
      <sheetName val="FES"/>
      <sheetName val="Добыча нефти4"/>
      <sheetName val="Capex"/>
      <sheetName val="ОТиТБ"/>
      <sheetName val="Пр2"/>
      <sheetName val="SA Procedures"/>
      <sheetName val="субподряд 2013"/>
      <sheetName val="Hidden"/>
      <sheetName val="Kmg_57s 24 02 05"/>
      <sheetName val="Список документов"/>
      <sheetName val="7"/>
      <sheetName val="10"/>
      <sheetName val="ВОЛС"/>
      <sheetName val="поставка сравн13"/>
      <sheetName val="Info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6НК-cт."/>
      <sheetName val="cons AG 31.03.2012"/>
      <sheetName val="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A2">
            <v>6</v>
          </cell>
          <cell r="E2" t="str">
            <v>00</v>
          </cell>
          <cell r="F2" t="str">
            <v>000001</v>
          </cell>
        </row>
        <row r="3">
          <cell r="E3" t="str">
            <v>31</v>
          </cell>
          <cell r="F3" t="str">
            <v>010101</v>
          </cell>
        </row>
        <row r="4">
          <cell r="E4" t="str">
            <v>31</v>
          </cell>
          <cell r="F4" t="str">
            <v>010102</v>
          </cell>
        </row>
        <row r="5">
          <cell r="E5" t="str">
            <v>31</v>
          </cell>
          <cell r="F5" t="str">
            <v>010203</v>
          </cell>
        </row>
        <row r="6">
          <cell r="E6" t="str">
            <v>42</v>
          </cell>
          <cell r="F6" t="str">
            <v>010304</v>
          </cell>
        </row>
        <row r="7">
          <cell r="E7" t="str">
            <v>41</v>
          </cell>
          <cell r="F7" t="str">
            <v>010406</v>
          </cell>
        </row>
        <row r="8">
          <cell r="E8" t="str">
            <v>11</v>
          </cell>
          <cell r="F8" t="str">
            <v>020101</v>
          </cell>
        </row>
        <row r="9">
          <cell r="E9" t="str">
            <v>11</v>
          </cell>
          <cell r="F9" t="str">
            <v>021102</v>
          </cell>
        </row>
        <row r="10">
          <cell r="E10" t="str">
            <v>11</v>
          </cell>
          <cell r="F10" t="str">
            <v>021103</v>
          </cell>
        </row>
        <row r="11">
          <cell r="E11" t="str">
            <v>11</v>
          </cell>
          <cell r="F11" t="str">
            <v>030101</v>
          </cell>
        </row>
        <row r="12">
          <cell r="E12" t="str">
            <v>30</v>
          </cell>
          <cell r="F12" t="str">
            <v>030102</v>
          </cell>
        </row>
        <row r="13">
          <cell r="E13" t="str">
            <v>41</v>
          </cell>
          <cell r="F13" t="str">
            <v>030403</v>
          </cell>
        </row>
        <row r="14">
          <cell r="E14" t="str">
            <v>30</v>
          </cell>
          <cell r="F14" t="str">
            <v>030604</v>
          </cell>
        </row>
        <row r="15">
          <cell r="E15" t="str">
            <v>30</v>
          </cell>
          <cell r="F15" t="str">
            <v>030705</v>
          </cell>
        </row>
        <row r="16">
          <cell r="E16" t="str">
            <v>31</v>
          </cell>
          <cell r="F16" t="str">
            <v>040101</v>
          </cell>
        </row>
        <row r="17">
          <cell r="E17" t="str">
            <v>82</v>
          </cell>
          <cell r="F17" t="str">
            <v>040102</v>
          </cell>
        </row>
        <row r="18">
          <cell r="E18" t="str">
            <v>31</v>
          </cell>
          <cell r="F18" t="str">
            <v>040103</v>
          </cell>
        </row>
        <row r="19">
          <cell r="E19" t="str">
            <v>41</v>
          </cell>
          <cell r="F19" t="str">
            <v>040404</v>
          </cell>
        </row>
        <row r="20">
          <cell r="E20" t="str">
            <v>41</v>
          </cell>
          <cell r="F20" t="str">
            <v>040405</v>
          </cell>
        </row>
        <row r="21">
          <cell r="E21" t="str">
            <v>41</v>
          </cell>
          <cell r="F21" t="str">
            <v>040406</v>
          </cell>
        </row>
        <row r="22">
          <cell r="E22" t="str">
            <v>41</v>
          </cell>
          <cell r="F22" t="str">
            <v>040407</v>
          </cell>
        </row>
        <row r="23">
          <cell r="E23" t="str">
            <v>41</v>
          </cell>
          <cell r="F23" t="str">
            <v>040408</v>
          </cell>
        </row>
        <row r="24">
          <cell r="E24" t="str">
            <v>41</v>
          </cell>
          <cell r="F24" t="str">
            <v>040409</v>
          </cell>
        </row>
        <row r="25">
          <cell r="E25" t="str">
            <v>41</v>
          </cell>
          <cell r="F25" t="str">
            <v>040410</v>
          </cell>
        </row>
        <row r="26">
          <cell r="E26" t="str">
            <v>31</v>
          </cell>
          <cell r="F26" t="str">
            <v>050101</v>
          </cell>
        </row>
        <row r="27">
          <cell r="E27" t="str">
            <v>41</v>
          </cell>
          <cell r="F27" t="str">
            <v>050501</v>
          </cell>
        </row>
        <row r="28">
          <cell r="E28" t="str">
            <v>31</v>
          </cell>
          <cell r="F28" t="str">
            <v>060101</v>
          </cell>
        </row>
        <row r="29">
          <cell r="E29" t="str">
            <v>31</v>
          </cell>
          <cell r="F29" t="str">
            <v>070601</v>
          </cell>
        </row>
        <row r="30">
          <cell r="E30" t="str">
            <v>31</v>
          </cell>
          <cell r="F30" t="str">
            <v>070602</v>
          </cell>
        </row>
        <row r="31">
          <cell r="E31" t="str">
            <v>31</v>
          </cell>
          <cell r="F31" t="str">
            <v>070603</v>
          </cell>
        </row>
        <row r="32">
          <cell r="E32" t="str">
            <v>31</v>
          </cell>
          <cell r="F32" t="str">
            <v>070604</v>
          </cell>
        </row>
        <row r="33">
          <cell r="E33" t="str">
            <v>31</v>
          </cell>
          <cell r="F33" t="str">
            <v>070605</v>
          </cell>
        </row>
        <row r="34">
          <cell r="E34" t="str">
            <v>31</v>
          </cell>
          <cell r="F34" t="str">
            <v>070606</v>
          </cell>
        </row>
        <row r="35">
          <cell r="E35" t="str">
            <v>31</v>
          </cell>
          <cell r="F35" t="str">
            <v>070607</v>
          </cell>
        </row>
        <row r="36">
          <cell r="E36" t="str">
            <v>31</v>
          </cell>
          <cell r="F36" t="str">
            <v>070608</v>
          </cell>
        </row>
        <row r="37">
          <cell r="E37" t="str">
            <v>31</v>
          </cell>
          <cell r="F37" t="str">
            <v>070609</v>
          </cell>
        </row>
        <row r="38">
          <cell r="E38" t="str">
            <v>31</v>
          </cell>
          <cell r="F38" t="str">
            <v>070610</v>
          </cell>
        </row>
        <row r="39">
          <cell r="E39" t="str">
            <v>31</v>
          </cell>
          <cell r="F39" t="str">
            <v>070611</v>
          </cell>
        </row>
        <row r="40">
          <cell r="E40" t="str">
            <v>31</v>
          </cell>
          <cell r="F40" t="str">
            <v>070612</v>
          </cell>
        </row>
        <row r="41">
          <cell r="E41" t="str">
            <v>30</v>
          </cell>
          <cell r="F41" t="str">
            <v>080801</v>
          </cell>
        </row>
        <row r="42">
          <cell r="E42" t="str">
            <v>11</v>
          </cell>
          <cell r="F42" t="str">
            <v>080902</v>
          </cell>
        </row>
        <row r="43">
          <cell r="E43" t="str">
            <v>11</v>
          </cell>
          <cell r="F43" t="str">
            <v>081003</v>
          </cell>
        </row>
        <row r="44">
          <cell r="E44" t="str">
            <v>30</v>
          </cell>
          <cell r="F44" t="str">
            <v>081104</v>
          </cell>
        </row>
        <row r="45">
          <cell r="E45" t="str">
            <v>30</v>
          </cell>
          <cell r="F45" t="str">
            <v>081105</v>
          </cell>
        </row>
        <row r="46">
          <cell r="E46" t="str">
            <v>11</v>
          </cell>
          <cell r="F46" t="str">
            <v>081106</v>
          </cell>
        </row>
        <row r="47">
          <cell r="E47" t="str">
            <v>11</v>
          </cell>
          <cell r="F47" t="str">
            <v>081107</v>
          </cell>
        </row>
        <row r="48">
          <cell r="E48" t="str">
            <v>11</v>
          </cell>
          <cell r="F48" t="str">
            <v>081108</v>
          </cell>
        </row>
        <row r="49">
          <cell r="E49" t="str">
            <v>30</v>
          </cell>
          <cell r="F49" t="str">
            <v>081109</v>
          </cell>
        </row>
        <row r="50">
          <cell r="E50" t="str">
            <v>30</v>
          </cell>
          <cell r="F50" t="str">
            <v>081110</v>
          </cell>
        </row>
        <row r="51">
          <cell r="E51" t="str">
            <v>30</v>
          </cell>
          <cell r="F51" t="str">
            <v>081111</v>
          </cell>
        </row>
        <row r="52">
          <cell r="E52" t="str">
            <v>30</v>
          </cell>
          <cell r="F52" t="str">
            <v>081112</v>
          </cell>
        </row>
        <row r="53">
          <cell r="E53" t="str">
            <v>30</v>
          </cell>
          <cell r="F53" t="str">
            <v>081113</v>
          </cell>
        </row>
        <row r="54">
          <cell r="E54" t="str">
            <v>71</v>
          </cell>
          <cell r="F54" t="str">
            <v>081114</v>
          </cell>
        </row>
        <row r="55">
          <cell r="E55" t="str">
            <v>30</v>
          </cell>
          <cell r="F55" t="str">
            <v>081115</v>
          </cell>
        </row>
        <row r="56">
          <cell r="E56" t="str">
            <v>90</v>
          </cell>
          <cell r="F56" t="str">
            <v>081116</v>
          </cell>
        </row>
        <row r="57">
          <cell r="E57" t="str">
            <v>90</v>
          </cell>
          <cell r="F57" t="str">
            <v>081117</v>
          </cell>
        </row>
        <row r="58">
          <cell r="E58" t="str">
            <v>90</v>
          </cell>
          <cell r="F58" t="str">
            <v>081118</v>
          </cell>
        </row>
        <row r="59">
          <cell r="E59" t="str">
            <v>90</v>
          </cell>
          <cell r="F59" t="str">
            <v>081119</v>
          </cell>
        </row>
        <row r="60">
          <cell r="E60" t="str">
            <v>90</v>
          </cell>
          <cell r="F60" t="str">
            <v>081120</v>
          </cell>
        </row>
        <row r="61">
          <cell r="E61" t="str">
            <v>90</v>
          </cell>
          <cell r="F61" t="str">
            <v>081121</v>
          </cell>
        </row>
        <row r="62">
          <cell r="E62" t="str">
            <v>11</v>
          </cell>
          <cell r="F62" t="str">
            <v>091122</v>
          </cell>
        </row>
        <row r="63">
          <cell r="E63" t="str">
            <v>31</v>
          </cell>
          <cell r="F63" t="str">
            <v>100101</v>
          </cell>
        </row>
        <row r="64">
          <cell r="E64" t="str">
            <v>42</v>
          </cell>
          <cell r="F64" t="str">
            <v>100302</v>
          </cell>
        </row>
        <row r="65">
          <cell r="E65" t="str">
            <v>31</v>
          </cell>
          <cell r="F65" t="str">
            <v>110101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Income Statement"/>
      <sheetName val="Balance Sheet"/>
      <sheetName val="Cash"/>
      <sheetName val="Income Statement - E&amp;P"/>
      <sheetName val="Balance Sheet E &amp; P"/>
      <sheetName val="IS Consolidated HKM&amp;Turg"/>
      <sheetName val="Is Divisional Summary"/>
      <sheetName val="Income Statement - Refining"/>
      <sheetName val="Balance Sheet ShNos"/>
      <sheetName val="Income Statement - Ref Deta"/>
      <sheetName val="IS Divisional Refining"/>
      <sheetName val="Income Statement - Farm"/>
      <sheetName val="Balance Sheet Agriculture"/>
      <sheetName val="Income Statem.-Farm Det"/>
      <sheetName val="IS Divisional Farm"/>
      <sheetName val="Income Statement - Corporate"/>
      <sheetName val="Balance Sheet Corporate"/>
      <sheetName val="Income Stat-Corp Det"/>
      <sheetName val="IS Divisional Corporate"/>
      <sheetName val="Список документов"/>
      <sheetName val="7"/>
      <sheetName val="10"/>
      <sheetName val="1"/>
      <sheetName val="ЦентрЗатр"/>
      <sheetName val="ЕдИзм"/>
      <sheetName val="Предпр"/>
      <sheetName val="ВСДС_1 (MAIN)"/>
      <sheetName val="2.2 ОтклОТМ"/>
      <sheetName val="1.3.2 ОТМ"/>
      <sheetName val="Links"/>
      <sheetName val="depreciation testing"/>
      <sheetName val="Hidden"/>
      <sheetName val="ЛСЦ начисленное на 31.12.08"/>
      <sheetName val="ЛЛизинг начис. на 31.12.08"/>
      <sheetName val="Datasheet"/>
      <sheetName val="1NK"/>
      <sheetName val="Форма2"/>
      <sheetName val="Форма1"/>
      <sheetName val="$ IS"/>
      <sheetName val="PP&amp;E mvt for 2003"/>
      <sheetName val="breakdown"/>
      <sheetName val="FA depreciation"/>
      <sheetName val="МодельППП (Свод)"/>
      <sheetName val="Production_Ref Q-1-3"/>
      <sheetName val="Б.мчас (П)"/>
      <sheetName val="Additions_Disposals"/>
      <sheetName val="Analytics"/>
      <sheetName val="P&amp;L"/>
      <sheetName val="Provisions"/>
      <sheetName val="Movement"/>
      <sheetName val="XREF"/>
      <sheetName val="Курсы"/>
      <sheetName val="Additions testing"/>
      <sheetName val="Movement schedule"/>
      <sheetName val="FA Movement "/>
      <sheetName val="Огл. Графиков"/>
      <sheetName val="Текущие цены"/>
      <sheetName val="рабочий"/>
      <sheetName val="окраска"/>
      <sheetName val="calc"/>
      <sheetName val="GAAP TB 30.09.01  detail p&amp;l"/>
      <sheetName val="9-1"/>
      <sheetName val="4"/>
      <sheetName val="1-1"/>
      <sheetName val="HKM RTC Crude costs"/>
      <sheetName val="TB"/>
      <sheetName val="PR CN"/>
      <sheetName val="ТЭП старая"/>
      <sheetName val="Deferred tax liability (asset)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de purchases"/>
      <sheetName val="801.7020"/>
      <sheetName val="802.7110"/>
      <sheetName val="802.6600"/>
      <sheetName val="802.6500 ok"/>
      <sheetName val="802.7100 ok"/>
      <sheetName val="$ IS"/>
      <sheetName val="Список документов"/>
      <sheetName val="7"/>
      <sheetName val="10"/>
      <sheetName val="1"/>
      <sheetName val="Links"/>
      <sheetName val="Balance Sheet"/>
      <sheetName val="GAAP TB 30.09.01  detail p&amp;l"/>
      <sheetName val="ЦентрЗатр"/>
      <sheetName val="ЕдИзм"/>
      <sheetName val="Предпр"/>
      <sheetName val="ЛСЦ начисленное на 31.12.08"/>
      <sheetName val="ЛЛизинг начис. на 31.12.08"/>
      <sheetName val="Форма2"/>
      <sheetName val="1.3.2 ОТМ"/>
      <sheetName val="P&amp;L"/>
      <sheetName val="Provisions"/>
      <sheetName val="Cur portion of L-t loans 2006"/>
      <sheetName val="9-1"/>
      <sheetName val="1NK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окументов"/>
      <sheetName val="1"/>
      <sheetName val="1-1"/>
      <sheetName val="2"/>
      <sheetName val="2-1"/>
      <sheetName val="3"/>
      <sheetName val="3-2"/>
      <sheetName val="3-3"/>
      <sheetName val="3-4"/>
      <sheetName val="4"/>
      <sheetName val="4-1"/>
      <sheetName val="4-2"/>
      <sheetName val="4-3"/>
      <sheetName val="5"/>
      <sheetName val="5-1"/>
      <sheetName val="6"/>
      <sheetName val="8"/>
      <sheetName val="9"/>
      <sheetName val="9-1"/>
      <sheetName val="9-2"/>
      <sheetName val="10"/>
      <sheetName val="10-1"/>
      <sheetName val="10-2"/>
      <sheetName val="11"/>
      <sheetName val="11-1"/>
      <sheetName val="12"/>
      <sheetName val="13"/>
      <sheetName val="GAAP TB 30.09.01  detail p&amp;l"/>
      <sheetName val="$ IS"/>
      <sheetName val="P&amp;L"/>
      <sheetName val="Provisions"/>
      <sheetName val="Cur portion of L-t loans 2006"/>
      <sheetName val="Worksheet in   CAS - Список инф"/>
      <sheetName val="services.01"/>
      <sheetName val="Threshold Calc"/>
      <sheetName val="utilities.01"/>
      <sheetName val="9_1"/>
      <sheetName val="7"/>
      <sheetName val="ЦентрЗатр"/>
      <sheetName val="ЕдИзм"/>
      <sheetName val="Предпр"/>
      <sheetName val="breakdown"/>
      <sheetName val="FA(2)"/>
      <sheetName val="FA depreciation"/>
      <sheetName val="Hidden"/>
      <sheetName val="Справочники"/>
      <sheetName val="Форма2"/>
      <sheetName val="1.3.2 ОТМ"/>
      <sheetName val="Форма1"/>
      <sheetName val="Balance Sheet"/>
      <sheetName val="ТМЗ-6"/>
      <sheetName val="Additions testing"/>
      <sheetName val="Movement schedule"/>
      <sheetName val="depreciation testing"/>
      <sheetName val="Production_Ref Q-1-3"/>
      <sheetName val="ЛСЦ начисленное на 31.12.08"/>
      <sheetName val="ВСДС_1 (MAIN)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Info"/>
      <sheetName val="Anlagevermögen"/>
      <sheetName val="4. NWABC"/>
      <sheetName val="U-ZR_AT1.XLS"/>
      <sheetName val="2.2 ОтклОТМ"/>
      <sheetName val="Kolommen_balans"/>
      <sheetName val="табл 9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od"/>
      <sheetName val="Rent"/>
      <sheetName val="Guesthouse"/>
      <sheetName val="Travel local"/>
      <sheetName val="Receivables"/>
      <sheetName val="#REF"/>
      <sheetName val="Anlagevermögen"/>
      <sheetName val="#ССЫЛКА"/>
      <sheetName val="GAAP TB 30.09.01  detail p&amp;l"/>
      <sheetName val="$ IS"/>
      <sheetName val="9-1"/>
      <sheetName val="4"/>
      <sheetName val="1-1"/>
      <sheetName val="1"/>
      <sheetName val="Список документов"/>
      <sheetName val="7"/>
      <sheetName val="10"/>
      <sheetName val="Production_Ref Q-1-3"/>
      <sheetName val="GAAP TB 31.12.01  detail p&amp;l"/>
      <sheetName val="05"/>
      <sheetName val="Hidden"/>
      <sheetName val="ЦентрЗатр"/>
      <sheetName val="ЕдИзм"/>
      <sheetName val="Предпр"/>
      <sheetName val="1.3.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2001"/>
      <sheetName val="Q1 PIVOT"/>
      <sheetName val="G&amp;A Q1 2001"/>
      <sheetName val="G&amp;A Q4 2000"/>
      <sheetName val="Q1 2000 PIVOT"/>
      <sheetName val="Q1 2000 detail"/>
      <sheetName val="Tickmarks"/>
      <sheetName val="Production_Ref Q-1-3"/>
      <sheetName val="Anlagevermögen"/>
      <sheetName val="G&amp;A analysis_March"/>
      <sheetName val="GAAP TB 31.12.01  detail p&amp;l"/>
      <sheetName val="GAAP TB 30.09.01  detail p&amp;l"/>
      <sheetName val="Список документов"/>
      <sheetName val="$ IS"/>
      <sheetName val="7"/>
      <sheetName val="10"/>
      <sheetName val="1"/>
      <sheetName val="Форма2"/>
      <sheetName val="Reference"/>
      <sheetName val="Hidden"/>
      <sheetName val="9-1"/>
      <sheetName val="4"/>
      <sheetName val="1-1"/>
      <sheetName val="FA Movement "/>
      <sheetName val="9"/>
      <sheetName val="depreciation testing"/>
      <sheetName val="XREF"/>
      <sheetName val="Справочники"/>
      <sheetName val="ЦентрЗат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Production_Ref Q-1-3"/>
      <sheetName val="1"/>
      <sheetName val="фот пп2000разбивка"/>
      <sheetName val="1NK"/>
      <sheetName val="Financial ratios А3"/>
      <sheetName val="2_2 ОтклОТМ"/>
      <sheetName val="1_3_2 ОТМ"/>
      <sheetName val="из сем"/>
      <sheetName val="I. Прогноз доходов"/>
      <sheetName val="Production_ref_Q4"/>
      <sheetName val="Sales-COS"/>
      <sheetName val="PP&amp;E mvt for 2003"/>
      <sheetName val="U2 775 - COGS comparison per su"/>
      <sheetName val="ЗАО_н.ит"/>
      <sheetName val="#ССЫЛКА"/>
      <sheetName val="ЗАО_мес"/>
      <sheetName val="Analytics"/>
      <sheetName val="GAAP TB 31.12.01  detail p&amp;l"/>
      <sheetName val="FA Movement Kyrg"/>
      <sheetName val="Anlagevermögen"/>
      <sheetName val="Reference"/>
      <sheetName val="перевозки"/>
      <sheetName val="Список документов"/>
      <sheetName val="Pbs_Wbs_ATC"/>
      <sheetName val="Non-Statistical Sampling Master"/>
      <sheetName val="Global Data"/>
      <sheetName val="SMSTemp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10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A-20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7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IT&amp;PP(2)"/>
      <sheetName val="Precios"/>
      <sheetName val="Production_analysis"/>
      <sheetName val="Comp06"/>
      <sheetName val="Keys"/>
      <sheetName val="breakdown"/>
      <sheetName val="P&amp;L"/>
      <sheetName val="Provisions"/>
      <sheetName val="FA depreciation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Profiles"/>
      <sheetName val="Wells"/>
      <sheetName val="InputTI"/>
      <sheetName val="3НК"/>
      <sheetName val="153541"/>
      <sheetName val="CD-실적"/>
      <sheetName val="FS-97"/>
      <sheetName val="PY misstate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Нефть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ЦентрЗатр"/>
      <sheetName val="ЕдИзм"/>
      <sheetName val="Предпр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свод"/>
      <sheetName val="группа"/>
      <sheetName val="2006 AJE RJE"/>
      <sheetName val="Другие расходы"/>
      <sheetName val="Форма 4 кап.зат-ты (2)"/>
      <sheetName val="Статьи"/>
      <sheetName val="2.2 ОтклОТМ"/>
      <sheetName val="1.3.2 ОТМ"/>
      <sheetName val="FES"/>
      <sheetName val="H3.100 Rollforward"/>
      <sheetName val="Б.мчас (П)"/>
      <sheetName val="Налоги"/>
      <sheetName val="9"/>
      <sheetName val="Analytics"/>
      <sheetName val="Info"/>
      <sheetName val="Production_Ref Q-1-3"/>
      <sheetName val="XREF"/>
      <sheetName val="Список документов"/>
      <sheetName val="ОТЧЕТ КТЖ 01.01.09"/>
      <sheetName val="FA Movement Kyrg"/>
      <sheetName val="FA Movement "/>
      <sheetName val="depreciation testing"/>
      <sheetName val="Anlagevermögen"/>
      <sheetName val="База"/>
      <sheetName val="из сем"/>
      <sheetName val="Собственный капитал"/>
      <sheetName val="Movements"/>
      <sheetName val="Hidden"/>
      <sheetName val="GAAP TB 31.12.01  detail p&amp;l"/>
      <sheetName val="8180 (8181,8182)"/>
      <sheetName val="8082"/>
      <sheetName val="8113"/>
      <sheetName val="Balance Sheet"/>
      <sheetName val="Movement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УПРАВЛЕНИЕ11"/>
      <sheetName val="Pbs_Wbs_ATC"/>
      <sheetName val="Disclosure"/>
      <sheetName val="Бонды стр.341"/>
      <sheetName val="summary"/>
      <sheetName val="Capex"/>
      <sheetName val="INSTRUCTIONS"/>
      <sheetName val="SMSTemp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ВСДС_1 (MAIN)"/>
      <sheetName val="Март"/>
      <sheetName val="Сентябрь"/>
      <sheetName val="Квартал"/>
      <sheetName val="Декабрь"/>
      <sheetName val="Ноябрь"/>
      <sheetName val="Precios"/>
      <sheetName val="Threshold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Группа"/>
      <sheetName val="КТЖ"/>
      <sheetName val="Свод АО"/>
      <sheetName val="L-1"/>
      <sheetName val="AP new"/>
      <sheetName val="анализ"/>
      <sheetName val="расш. прочих, опл. услуг"/>
      <sheetName val="ввод-вывод ОС авг2004- 2005"/>
      <sheetName val="СписокТЭП"/>
      <sheetName val="Форма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KB som (3)"/>
      <sheetName val="Sheet1"/>
      <sheetName val="Tickmarks"/>
      <sheetName val="Выбытие ОС"/>
      <sheetName val="Additions_Disposals"/>
      <sheetName val="SocFund"/>
      <sheetName val="Лист1"/>
      <sheetName val="Circularization"/>
      <sheetName val="Loan portfolio as of 30.09.03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1 (2)"/>
      <sheetName val="Reconciliation"/>
      <sheetName val="By decades"/>
      <sheetName val="1633"/>
      <sheetName val="1630"/>
      <sheetName val="1635"/>
      <sheetName val="Sheet2"/>
      <sheetName val="Sheet1 (3)"/>
      <sheetName val="160304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LS Reconcilation"/>
      <sheetName val="Disposals TEST"/>
      <sheetName val="Additions TEST"/>
      <sheetName val="Sheet3"/>
      <sheetName val="USD"/>
      <sheetName val="EUR "/>
      <sheetName val="Au840978 (2)"/>
      <sheetName val="Au840978"/>
      <sheetName val="Unrealized"/>
      <sheetName val="840"/>
      <sheetName val="978"/>
      <sheetName val="DD Reserve calculation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LLP per DT"/>
      <sheetName val="Bishkekkuru"/>
      <sheetName val="запрос"/>
      <sheetName val="Final Audit 311204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FA Movement Kyrg"/>
      <sheetName val="BS"/>
      <sheetName val="PL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Discounting_9%"/>
      <sheetName val="movement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mvnt"/>
      <sheetName val="PBC"/>
      <sheetName val="Weighted Average Method Test"/>
      <sheetName val="???C_x0008_?_x000d_???"/>
      <sheetName val="Свод"/>
      <sheetName val="работы и услуги сторонние"/>
      <sheetName val="работы и услуги АО &quot;НК&quot;КТЖ&quot;"/>
      <sheetName val="работы и услуги дочерние"/>
      <sheetName val="прочие"/>
      <sheetName val="субподряд 01.01.10г"/>
      <sheetName val="VFO-25"/>
      <sheetName val="VFO-24"/>
      <sheetName val="VFO-26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Sheet1 (4)"/>
      <sheetName val="CMA - 671 acc. DR"/>
      <sheetName val="pbc_1350-8011"/>
      <sheetName val="Test1350-8011"/>
      <sheetName val="Moinkym"/>
      <sheetName val="Analytic"/>
      <sheetName val="Brk"/>
      <sheetName val="Консолидация"/>
      <sheetName val="EJE (2)"/>
      <sheetName val="Disc"/>
      <sheetName val="EJE"/>
      <sheetName val="TOD TZZ"/>
      <sheetName val="Obsolete TZZ"/>
      <sheetName val="Investments"/>
      <sheetName val="AR_KM"/>
      <sheetName val="Fin. aid"/>
      <sheetName val="Related Parties"/>
      <sheetName val="Elimin"/>
      <sheetName val="СД_311211 (3)"/>
      <sheetName val="Ф2_ЕНПФ_июль"/>
      <sheetName val="_x0000__x0000__x0000_C_x0008__x0000__x000a__x0000__x0000__x0000_"/>
      <sheetName val="???C_x0008_?_x000a_???"/>
      <sheetName val="Список документов"/>
      <sheetName val="7"/>
      <sheetName val="10"/>
      <sheetName val="1"/>
      <sheetName val="Datasheet"/>
      <sheetName val="FA Movement "/>
      <sheetName val="depreciation testing"/>
      <sheetName val="Anlagevermögen"/>
      <sheetName val="GAAP TB 30.09.01  detail p&amp;l"/>
      <sheetName val="Test on reserve on vacation"/>
      <sheetName val="COS"/>
      <sheetName val="100_17"/>
      <sheetName val="Other expenses"/>
      <sheetName val="6XXX"/>
      <sheetName val="6012"/>
      <sheetName val="6015"/>
      <sheetName val="6017"/>
      <sheetName val="6018"/>
      <sheetName val="6019"/>
      <sheetName val="6280"/>
      <sheetName val="6282"/>
      <sheetName val="7XXX"/>
      <sheetName val="100"/>
      <sheetName val="8"/>
      <sheetName val="НР-18"/>
      <sheetName val="Hidden"/>
      <sheetName val="ЛСЦ начисленное на 31.12.08"/>
      <sheetName val="9"/>
      <sheetName val="Capex"/>
      <sheetName val="2.2 ОтклОТМ"/>
      <sheetName val="1.3.2 ОТМ"/>
      <sheetName val="Предпр"/>
      <sheetName val="ЦентрЗатр"/>
      <sheetName val="ЕдИзм"/>
      <sheetName val="TZZ"/>
      <sheetName val="Promissory notes- TZZ"/>
      <sheetName val="TZE"/>
      <sheetName val="Summary"/>
      <sheetName val="Форма1"/>
      <sheetName val="Movements"/>
      <sheetName val="PP&amp;E mvt for 2003"/>
      <sheetName val="GAAP TB 31.12.01  detail p&amp;l"/>
      <sheetName val="P&amp;L"/>
      <sheetName val="Provisions"/>
      <sheetName val="ВСДС_1 (MAIN)"/>
      <sheetName val="3320"/>
      <sheetName val="1210"/>
      <sheetName val="1030"/>
      <sheetName val="ЛЛизинг начис. на 31.12.08"/>
      <sheetName val="9-1"/>
      <sheetName val="4"/>
      <sheetName val="1-1"/>
      <sheetName val="$ IS"/>
      <sheetName val="Собственный капитал"/>
      <sheetName val="Disclosure"/>
      <sheetName val="Selection"/>
      <sheetName val="Audit Sample Table (2)"/>
      <sheetName val="сверка 1"/>
      <sheetName val="TB"/>
      <sheetName val="Taxes"/>
      <sheetName val="GM Analysis"/>
      <sheetName val="1NK"/>
      <sheetName val="КВ"/>
      <sheetName val="Links"/>
      <sheetName val="Lead"/>
      <sheetName val="5"/>
      <sheetName val="Статьи"/>
      <sheetName val="FAR 04"/>
      <sheetName val="___C_x0008___x000d____"/>
      <sheetName val="___C_x0008______"/>
      <sheetName val="___C_x0008___x000a____"/>
      <sheetName val="Б.мчас (П)"/>
      <sheetName val="Summary from Halyk bank"/>
      <sheetName val="Interest rates"/>
      <sheetName val="IS"/>
      <sheetName val="Испытание защ. средств"/>
      <sheetName val="Subscriptions"/>
      <sheetName val="Share Register"/>
      <sheetName val="Register  30.06.2008"/>
      <sheetName val="Income tax"/>
      <sheetName val="declar. on expense (PBC) 2008"/>
      <sheetName val="declar. on income (PBC) 2008"/>
      <sheetName val="80611"/>
      <sheetName val="61099"/>
      <sheetName val="80029"/>
      <sheetName val="80312"/>
      <sheetName val="80311"/>
      <sheetName val="80399"/>
      <sheetName val="80509"/>
      <sheetName val="80303"/>
      <sheetName val="80305"/>
      <sheetName val="ОС менее 10 000 "/>
      <sheetName val="Rollfwd 2007"/>
      <sheetName val="Rollfwd 2006"/>
      <sheetName val="Test of OB"/>
      <sheetName val="Additions 30.09.07"/>
      <sheetName val="Additions 3 month."/>
      <sheetName val="Disposal 31.12.07"/>
      <sheetName val="Depreciation"/>
      <sheetName val="Tickmarks (2)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 refreshError="1"/>
      <sheetData sheetId="144" refreshError="1"/>
      <sheetData sheetId="145"/>
      <sheetData sheetId="146" refreshError="1"/>
      <sheetData sheetId="147" refreshError="1"/>
      <sheetData sheetId="148" refreshError="1"/>
      <sheetData sheetId="149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окументов"/>
      <sheetName val="1"/>
      <sheetName val="1.1"/>
      <sheetName val="1.2"/>
      <sheetName val="1.3"/>
      <sheetName val="1.4"/>
      <sheetName val="2"/>
      <sheetName val="3"/>
      <sheetName val="3.1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Лист2"/>
      <sheetName val="Лист1"/>
      <sheetName val="2 прилож"/>
      <sheetName val="ЛСЦ начисленное на 31.12.08"/>
      <sheetName val="ЛЛизинг начис. на 31.12.08"/>
      <sheetName val="FA Movement Kyrg"/>
      <sheetName val="ЦентрЗатр"/>
      <sheetName val="ЕдИзм"/>
      <sheetName val="Предпр"/>
      <sheetName val="ВОЛС"/>
      <sheetName val="2.2 ОтклОТМ"/>
      <sheetName val="1.3.2 ОТМ"/>
      <sheetName val="Links"/>
      <sheetName val="Anlagevermögen"/>
      <sheetName val="P&amp;L"/>
      <sheetName val="Provisions"/>
      <sheetName val="GAAP TB 30.09.01  detail p&amp;l"/>
      <sheetName val="1NK"/>
      <sheetName val="breakdown"/>
      <sheetName val="FA depreciation"/>
      <sheetName val="Balance Sheet"/>
      <sheetName val="Форма2"/>
      <sheetName val="FA Movement "/>
      <sheetName val="depreciation testing"/>
      <sheetName val="Добыча нефти4"/>
      <sheetName val="SA Procedures"/>
      <sheetName val="MetaData"/>
      <sheetName val="$ IS"/>
      <sheetName val="2013"/>
      <sheetName val="2012"/>
      <sheetName val="2011"/>
      <sheetName val="2009"/>
      <sheetName val="Форма1"/>
      <sheetName val="GAAP TB 31.12.01  detail p&amp;l"/>
      <sheetName val="Hidden"/>
      <sheetName val="Deferred tax"/>
      <sheetName val="1-1"/>
      <sheetName val="ОТиТБ"/>
      <sheetName val="из сем"/>
      <sheetName val="Capex"/>
      <sheetName val="Собственный капитал"/>
      <sheetName val="Production_Ref Q-1-3"/>
      <sheetName val="Additions_Disposals"/>
      <sheetName val="Данные для расчета"/>
      <sheetName val="DB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_FES"/>
      <sheetName val="map_nat"/>
      <sheetName val="map_RPG"/>
      <sheetName val="Profit &amp; Loss Total"/>
      <sheetName val="12 месяцев 2010"/>
      <sheetName val="Нефть"/>
      <sheetName val="IPR_VOG"/>
      <sheetName val="6НК-cт."/>
      <sheetName val="ЛСЦ начисленное на 31.12.08"/>
      <sheetName val="ЛЛизинг начис. на 31.12.08"/>
      <sheetName val="КТЖ БДР"/>
      <sheetName val="Форма2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Precios"/>
      <sheetName val="СписокТЭП"/>
      <sheetName val="Data-in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Ural med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Dictionaries"/>
      <sheetName val="Содержание"/>
      <sheetName val="4 000 000 тыс.тг"/>
      <sheetName val="15 000 000 тыс.тг"/>
      <sheetName val="ЦХЛ 2004"/>
      <sheetName val="2210900-Aug"/>
      <sheetName val="Фин.обязат."/>
      <sheetName val="Financial ratios А3"/>
      <sheetName val="December(начис)_ZKM-ZinBV"/>
      <sheetName val="ЦентрЗатр"/>
      <sheetName val="ЕдИзм"/>
      <sheetName val="Предпр"/>
      <sheetName val="t0_name"/>
      <sheetName val="InputTD"/>
      <sheetName val="K_750_Sl_KPMG_report_Test"/>
      <sheetName val="K_300_RFD_KMG EP"/>
      <sheetName val="K_200_ES"/>
      <sheetName val="K_101_DDA_LS"/>
      <sheetName val="K_310_RFD_Uzen_rev"/>
      <sheetName val="K_120_FA_Sale"/>
      <sheetName val="I-Index"/>
      <sheetName val="ЦТУ (касса)"/>
      <sheetName val="ЕБРР"/>
      <sheetName val="ЕБРР 200 млн.$ 24.05.12"/>
      <sheetName val="Самрук"/>
      <sheetName val="БРК-188,2"/>
      <sheetName val="LME_prices"/>
      <sheetName val="5NK "/>
      <sheetName val="Доходы всего"/>
      <sheetName val="Доходы обороты"/>
      <sheetName val="ремонтТ9"/>
      <sheetName val="ктж"/>
      <sheetName val="ЖДА"/>
      <sheetName val="Доступ к МЖС"/>
      <sheetName val="авансы"/>
      <sheetName val="мать факт (изм НДС)"/>
      <sheetName val="ПВД"/>
      <sheetName val="прочие поступления"/>
      <sheetName val="кредитный бюджет 2014"/>
      <sheetName val="разработочная"/>
      <sheetName val="прочие выб по дзо"/>
      <sheetName val="инвест.разбивка"/>
      <sheetName val="оплата БЗ и ОСО для БДДС"/>
      <sheetName val="Соц.сфера"/>
      <sheetName val="расходы КТЖ"/>
      <sheetName val="Налоги"/>
      <sheetName val="прочие выбытия "/>
      <sheetName val="депозиты 2014"/>
      <sheetName val="УК и ФП"/>
      <sheetName val="бюджет 2013_освоение_)"/>
      <sheetName val="Production_Ref Q-1-3"/>
      <sheetName val="Analytics"/>
      <sheetName val="касса 2015-2019 год займы 16081"/>
      <sheetName val="FA Movement Kyrg"/>
      <sheetName val="База"/>
      <sheetName val="ОТиТБ"/>
      <sheetName val="бюджет 2015 займы 200815"/>
      <sheetName val="ОРУ ДО"/>
      <sheetName val="6НК"/>
      <sheetName val="Settings"/>
      <sheetName val="Transport overview"/>
      <sheetName val="Баланс"/>
      <sheetName val="Control"/>
      <sheetName val="B-4"/>
      <sheetName val="депозиты"/>
      <sheetName val="Статьи"/>
      <sheetName val="MAIN"/>
      <sheetName val="факт 2005 г.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ФОТ"/>
      <sheetName val="Добыча нефти4"/>
      <sheetName val="поставка сравн13"/>
      <sheetName val="из сем"/>
      <sheetName val="Форма3.6"/>
      <sheetName val="Титул1"/>
      <sheetName val="свод ао"/>
      <sheetName val="2.2 ОтклОТМ"/>
      <sheetName val="1.3.2 ОТМ"/>
      <sheetName val="ГК лохл"/>
      <sheetName val="Апш"/>
      <sheetName val="Кумк"/>
      <sheetName val="Колум"/>
      <sheetName val="А Девел"/>
      <sheetName val="А Апш"/>
      <sheetName val="Девел"/>
      <sheetName val="А Кумк"/>
      <sheetName val="Экспл КОНС"/>
      <sheetName val="В-П"/>
      <sheetName val="А В-П"/>
      <sheetName val="А В-П КОНС"/>
      <sheetName val="БВО"/>
      <sheetName val="ЛОХЛ СВОД"/>
      <sheetName val="А ЛОХЛ СВОД"/>
      <sheetName val="А БВО"/>
      <sheetName val="Транспорт"/>
      <sheetName val="Расчет эксп бурения"/>
      <sheetName val="свод КВЛ (на печать)"/>
      <sheetName val="Данные"/>
      <sheetName val="сброс"/>
      <sheetName val="Hidden"/>
      <sheetName val="ДР 2011"/>
      <sheetName val="себ с ув."/>
      <sheetName val="KR(СВОД)"/>
      <sheetName val="д1"/>
      <sheetName val="СИ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ion analysis"/>
      <sheetName val="Production_analysis"/>
      <sheetName val="Production_ref_Q4"/>
      <sheetName val="App-1, 901 acc_detailed_Q-4"/>
      <sheetName val="Production_Ref Q-1-3"/>
      <sheetName val="Sheet1"/>
      <sheetName val="Sheet2"/>
      <sheetName val="Sheet3"/>
      <sheetName val="Tickmarks"/>
      <sheetName val="#REF"/>
      <sheetName val="GAAP TB 31.12.01  detail p&amp;l"/>
      <sheetName val="Capex"/>
      <sheetName val="Anlagevermögen"/>
      <sheetName val="Цены"/>
      <sheetName val="2001 Detail"/>
      <sheetName val="00"/>
      <sheetName val="FES"/>
      <sheetName val="Production_Ref Q_1_3"/>
      <sheetName val="Содержание"/>
      <sheetName val="ЛСЦ начисленное на 31.12.08"/>
      <sheetName val="ЛЛизинг начис. на 31.12.08"/>
      <sheetName val="Hidden"/>
      <sheetName val="GAAP TB 30.09.01  detail p&amp;l"/>
      <sheetName val="Reference"/>
      <sheetName val="FA Movement Kyrg"/>
      <sheetName val="Форма2"/>
      <sheetName val="Cur portion of L-t loans 2006"/>
      <sheetName val="9-1"/>
      <sheetName val="4"/>
      <sheetName val="1-1"/>
      <sheetName val="1"/>
      <sheetName val="2.1 First order"/>
      <sheetName val="breakdown"/>
      <sheetName val="FA depreciation"/>
      <sheetName val="Balance Sheet"/>
      <sheetName val="$ IS"/>
      <sheetName val="Выбор"/>
      <sheetName val="AnP3-prod"/>
      <sheetName val="Index - Summary"/>
      <sheetName val="Income Statement"/>
      <sheetName val="#ССЫЛКА"/>
      <sheetName val="Собственный капитал"/>
      <sheetName val="Pbs_Wbs_ATC"/>
      <sheetName val="Список документов"/>
      <sheetName val="7"/>
      <sheetName val="10"/>
      <sheetName val="Additions_Disposals"/>
      <sheetName val="290"/>
      <sheetName val="Worksheet in 8350 Production Co"/>
      <sheetName val="ЦентрЗатр"/>
      <sheetName val="PP&amp;E mvt for 2003"/>
      <sheetName val="ЕдИзм"/>
      <sheetName val="Предпр"/>
      <sheetName val="Datasheet"/>
      <sheetName val="FA Movement "/>
      <sheetName val="depreciation testing"/>
      <sheetName val="4. NWABC"/>
      <sheetName val="Лист 1"/>
      <sheetName val="Prelim Cost"/>
      <sheetName val="SMSTemp"/>
      <sheetName val="AnP4-oil"/>
      <sheetName val="PYTB"/>
      <sheetName val="Post Frac"/>
      <sheetName val="IPR"/>
      <sheetName val="CPI"/>
      <sheetName val="Начало"/>
      <sheetName val="Non-Statistical Sampling"/>
      <sheetName val="Store"/>
      <sheetName val="InputTI"/>
      <sheetName val="name"/>
      <sheetName val="Cost 99v98"/>
      <sheetName val="Pivot"/>
      <sheetName val="July_03_Pg8"/>
      <sheetName val="coa co11"/>
      <sheetName val="база 639.0306"/>
      <sheetName val="1.3.2 ОТМ"/>
    </sheetNames>
    <sheetDataSet>
      <sheetData sheetId="0" refreshError="1"/>
      <sheetData sheetId="1" refreshError="1"/>
      <sheetData sheetId="2">
        <row r="260">
          <cell r="E260">
            <v>124967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Movement Kyrg"/>
      <sheetName val="FA Movement "/>
      <sheetName val="depreciation testing"/>
      <sheetName val="GAAP TB 31.12.01  detail p&amp;l"/>
      <sheetName val="Production_Ref Q-1-3"/>
      <sheetName val="Форма2"/>
      <sheetName val="Capex"/>
      <sheetName val="Б.мчас (П)"/>
      <sheetName val="Analytics"/>
      <sheetName val="Hidden"/>
      <sheetName val="ЛСЦ начисленное на 31.12.08"/>
      <sheetName val="ЛЛизинг начис. на 31.12.08"/>
      <sheetName val="1"/>
      <sheetName val="Собственный капитал"/>
      <sheetName val="PP&amp;E mvt for 2003"/>
      <sheetName val="Anlagevermögen"/>
      <sheetName val="XREF"/>
      <sheetName val="Reference"/>
      <sheetName val="9-1"/>
      <sheetName val="4"/>
      <sheetName val="1-1"/>
      <sheetName val="GAAP TB 30.09.01  detail p&amp;l"/>
      <sheetName val="$ IS"/>
      <sheetName val="material realised"/>
      <sheetName val="breakdown"/>
      <sheetName val="FA depreciation"/>
      <sheetName val="electricity"/>
      <sheetName val="Additions testing"/>
      <sheetName val="Movement schedule"/>
      <sheetName val="ЦентрЗатр"/>
      <sheetName val="ЕдИзм"/>
      <sheetName val="Пред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250"/>
      <sheetName val="8180 (8181,8182)"/>
      <sheetName val="8140"/>
      <sheetName val="8210"/>
      <sheetName val="8030; 8221"/>
      <sheetName val="8070"/>
      <sheetName val="8200"/>
      <sheetName val="8145"/>
      <sheetName val="8113"/>
      <sheetName val="8082"/>
      <sheetName val="XREF"/>
      <sheetName val="Tickmarks"/>
      <sheetName val="Additions testing"/>
      <sheetName val="Movement schedule"/>
      <sheetName val="depreciation testing"/>
      <sheetName val="FA Movement "/>
      <sheetName val="8180 _8181_8182_"/>
      <sheetName val="Balance Sheet"/>
      <sheetName val="AHEPS"/>
      <sheetName val="OshHPP"/>
      <sheetName val="BHPP"/>
      <sheetName val="Март"/>
      <sheetName val="Сентябрь"/>
      <sheetName val="Квартал"/>
      <sheetName val="Январь"/>
      <sheetName val="Декабрь"/>
      <sheetName val="Ноябрь"/>
      <sheetName val="XLR_NoRangeSheet"/>
      <sheetName val="Апрель"/>
      <sheetName val="Июль"/>
      <sheetName val="Июнь"/>
      <sheetName val="Worksheet in (C) 8344 Administr"/>
      <sheetName val="Hidden"/>
      <sheetName val="9"/>
      <sheetName val="Summary"/>
      <sheetName val="Production Data Input"/>
      <sheetName val="GAAP TB 31.12.01  detail p&amp;l"/>
      <sheetName val="Capex"/>
      <sheetName val="LME_prices"/>
      <sheetName val="breakdown"/>
      <sheetName val="FA depreciation"/>
      <sheetName val="Форма2"/>
      <sheetName val="services.01"/>
      <sheetName val="Threshold Calc"/>
      <sheetName val="utilities.01"/>
      <sheetName val="P&amp;L"/>
      <sheetName val="Provisions"/>
      <sheetName val="Deferred tax"/>
      <sheetName val="Собственный капитал"/>
      <sheetName val="PP&amp;E mvt for 2003"/>
      <sheetName val="ВСДС_1 (MAIN)"/>
      <sheetName val="ТМЗ-6"/>
      <sheetName val="Список документов"/>
      <sheetName val="7"/>
      <sheetName val="10"/>
      <sheetName val="1"/>
      <sheetName val="ЛСЦ начисленное на 31.12.08"/>
      <sheetName val="ЛЛизинг начис. на 31.12.08"/>
      <sheetName val="Бонды стр.341"/>
      <sheetName val="material realised"/>
      <sheetName val="electricity"/>
      <sheetName val="L-1"/>
      <sheetName val="FA Movement Kyrg"/>
      <sheetName val="9-1"/>
      <sheetName val="4"/>
      <sheetName val="1-1"/>
      <sheetName val="Приложение 1 KZT"/>
      <sheetName val="Movement"/>
      <sheetName val="Курсы"/>
      <sheetName val="Target"/>
      <sheetName val="Additions_Disposals"/>
      <sheetName val="Assumptions"/>
      <sheetName val="Branches"/>
      <sheetName val="Огл. Графиков"/>
      <sheetName val="Текущие цены"/>
      <sheetName val="рабочий"/>
      <sheetName val="окраска"/>
      <sheetName val="Datasheet"/>
      <sheetName val="ЦентрЗатр"/>
      <sheetName val="Production_Ref Q-1-3"/>
      <sheetName val="ЕдИзм"/>
      <sheetName val="Предпр"/>
    </sheetNames>
    <sheetDataSet>
      <sheetData sheetId="0" refreshError="1"/>
      <sheetData sheetId="1">
        <row r="3">
          <cell r="A3">
            <v>25461.85</v>
          </cell>
        </row>
      </sheetData>
      <sheetData sheetId="2" refreshError="1"/>
      <sheetData sheetId="3">
        <row r="3">
          <cell r="A3">
            <v>25461.85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realised"/>
      <sheetName val="other exp."/>
      <sheetName val="Tickmarks"/>
      <sheetName val="electricity"/>
      <sheetName val="Threshold- electricity"/>
      <sheetName val="Threshold Table"/>
      <sheetName val="Repair of FA"/>
      <sheetName val="breakdown"/>
      <sheetName val="FA depreciation"/>
      <sheetName val="Additions testing"/>
      <sheetName val="Movement schedule"/>
      <sheetName val="depreciation testing"/>
      <sheetName val="FA Movement Kyrg"/>
      <sheetName val="Hidden"/>
      <sheetName val="FA Movement "/>
      <sheetName val="GAAP TB 31.12.01  detail p&amp;l"/>
      <sheetName val="LME_pri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P&amp;L"/>
      <sheetName val="Provisions"/>
      <sheetName val="9"/>
      <sheetName val="Balance Sheet"/>
      <sheetName val="Capex"/>
      <sheetName val="summary"/>
      <sheetName val="ЛСЦ начисленное на 31.12.08"/>
      <sheetName val="Mvnt"/>
      <sheetName val="Disclosure"/>
      <sheetName val="СписокТЭП"/>
      <sheetName val="L-1"/>
      <sheetName val="Deferred tax"/>
      <sheetName val="4"/>
      <sheetName val="1-1"/>
      <sheetName val="1"/>
      <sheetName val="Приложение 1 KZT"/>
      <sheetName val="ТМЗ-6"/>
      <sheetName val="Нефть"/>
      <sheetName val=""/>
      <sheetName val="Worksheet in 8242 Test of detai"/>
      <sheetName val="FAM Terra _ CB"/>
      <sheetName val="Movement"/>
      <sheetName val="FS"/>
      <sheetName val="Transformation table  2002"/>
      <sheetName val="Список документов"/>
      <sheetName val="7"/>
      <sheetName val="10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Almatytel (2)"/>
      <sheetName val="22CASH"/>
      <sheetName val="Almatytel"/>
      <sheetName val="BANK3"/>
      <sheetName val="BANK1"/>
      <sheetName val="BANK2"/>
      <sheetName val="P&amp;L"/>
      <sheetName val="Provisions"/>
      <sheetName val="breakdown"/>
      <sheetName val="FA depreciation"/>
      <sheetName val="Макро"/>
      <sheetName val="450"/>
      <sheetName val="L-1"/>
      <sheetName val="5R"/>
      <sheetName val="Additions testing"/>
      <sheetName val="Movement schedule"/>
      <sheetName val="depreciation testing"/>
      <sheetName val="GAAP TB 30.09.01  detail p&amp;l"/>
      <sheetName val="Anlagevermögen"/>
      <sheetName val="FA Movement "/>
      <sheetName val="FA(2)"/>
      <sheetName val="Cur portion of L-t loans 2006"/>
      <sheetName val="Production_Ref Q-1-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custody"/>
      <sheetName val="PBC"/>
      <sheetName val="Inventory custody services"/>
      <sheetName val="Tickmarks"/>
      <sheetName val="9-1"/>
      <sheetName val="4"/>
      <sheetName val="1-1"/>
      <sheetName val="1"/>
      <sheetName val="P&amp;L"/>
      <sheetName val="Provisions"/>
      <sheetName val="Production_Ref Q-1-3"/>
      <sheetName val="Anlagevermögen"/>
      <sheetName val="7"/>
      <sheetName val="10"/>
      <sheetName val="Список документов"/>
      <sheetName val="Cur portion of L-t loans 2006"/>
      <sheetName val="breakdown"/>
      <sheetName val="FA depreciation"/>
      <sheetName val="9"/>
      <sheetName val="Additions testing"/>
      <sheetName val="Movement schedule"/>
      <sheetName val="depreciation testing"/>
      <sheetName val="Movement"/>
      <sheetName val="Analytics"/>
      <sheetName val="FA(2)"/>
      <sheetName val="GAAP TB 31.12.01  detail p&amp;l"/>
      <sheetName val="Reference"/>
      <sheetName val="Hidden"/>
      <sheetName val="Deferred tax"/>
      <sheetName val="ЛСЦ начисленное на 31.12.08"/>
      <sheetName val="ЛЛизинг начис. на 31.12.08"/>
      <sheetName val="Форма2"/>
      <sheetName val="ЦентрЗатр"/>
      <sheetName val="ЕдИзм"/>
      <sheetName val="Предпр"/>
      <sheetName val="summary"/>
      <sheetName val="XREF"/>
      <sheetName val="Собственный капитал"/>
      <sheetName val="PP&amp;E mvt for 2003"/>
      <sheetName val="Movements"/>
      <sheetName val="GAAP TB 30.09.01  detail 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отный"/>
      <sheetName val="Баланс"/>
      <sheetName val="Отчет о доходах и расходах"/>
      <sheetName val="Отчет о движ денег"/>
      <sheetName val="Собственный капитал"/>
      <sheetName val="Деньги"/>
      <sheetName val="Торговая дебит задол"/>
      <sheetName val="ТМЗ"/>
      <sheetName val="Прочие ТА"/>
      <sheetName val="ОС"/>
      <sheetName val="Нематер активы"/>
      <sheetName val="Дочерние организации"/>
      <sheetName val="Ассоц организации"/>
      <sheetName val="Инв-ии для продажи"/>
      <sheetName val="Прочие долгосрочные активы"/>
      <sheetName val="ТКЗ"/>
      <sheetName val="Прочие налоги"/>
      <sheetName val="Проч тек обязательства"/>
      <sheetName val="Займы"/>
      <sheetName val="Вознагр работникам"/>
      <sheetName val="Подоходн налог"/>
      <sheetName val="Собств кап"/>
      <sheetName val="Прочие доходы"/>
      <sheetName val="Материалы и услуги"/>
      <sheetName val="Затр по расч с персоналом"/>
      <sheetName val="Налоги помимо КПН "/>
      <sheetName val="Проч опер расходы"/>
      <sheetName val="Расх на фин-ие"/>
      <sheetName val="Фин и усл обяз-ва"/>
      <sheetName val="Фин инс-ты и риски"/>
      <sheetName val="Сделки со связанными сторонами"/>
      <sheetName val="Tickmarks"/>
      <sheetName val="д.7.001"/>
      <sheetName val="9-1"/>
      <sheetName val="4"/>
      <sheetName val="1-1"/>
      <sheetName val="1"/>
      <sheetName val="Capex"/>
      <sheetName val="2.2 ОтклОТМ"/>
      <sheetName val="1.3.2 ОТМ"/>
      <sheetName val="Предпр"/>
      <sheetName val="ЦентрЗатр"/>
      <sheetName val="ЕдИзм"/>
      <sheetName val="2216"/>
      <sheetName val="3-3"/>
      <sheetName val="Movement"/>
      <sheetName val="Datasheet"/>
      <sheetName val="breakdown"/>
      <sheetName val="FA depreciation"/>
      <sheetName val="P&amp;L"/>
      <sheetName val="Provisions"/>
      <sheetName val="Форма2"/>
      <sheetName val="Hidden"/>
      <sheetName val="Disclosure"/>
      <sheetName val="Cur portion of L-t loans 2006"/>
      <sheetName val="Dictionaries"/>
      <sheetName val="9"/>
      <sheetName val="7"/>
      <sheetName val="10"/>
      <sheetName val="Список документов"/>
      <sheetName val="PP&amp;E mvt for 2003"/>
      <sheetName val="Movements"/>
      <sheetName val="FA Movement "/>
      <sheetName val="Additions testing"/>
      <sheetName val="Movement schedule"/>
      <sheetName val="depreciation testing"/>
      <sheetName val="Приложение 1 KZT"/>
      <sheetName val="GAAP TB 31.12.01  detail p&amp;l"/>
      <sheetName val="FA Movement Kyrg"/>
      <sheetName val="Anlagevermögen"/>
      <sheetName val="Production_Ref Q-1-3"/>
      <sheetName val="1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_FES"/>
      <sheetName val="map_nat"/>
      <sheetName val="map_RPG"/>
      <sheetName val="Profit &amp; Loss Total"/>
      <sheetName val="12 месяцев 2010"/>
      <sheetName val="КТЖ БДР"/>
      <sheetName val="Нефть"/>
      <sheetName val="Форма2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IPR_VOG"/>
      <sheetName val="6НК-cт."/>
      <sheetName val="Precios"/>
      <sheetName val="СписокТЭП"/>
      <sheetName val="Data-in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Ural med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Dictionaries"/>
      <sheetName val="Содержание"/>
      <sheetName val="4 000 000 тыс.тг"/>
      <sheetName val="15 000 000 тыс.тг"/>
      <sheetName val="ЦХЛ 2004"/>
      <sheetName val="2210900-Aug"/>
      <sheetName val="Фин.обязат."/>
      <sheetName val="Financial ratios А3"/>
      <sheetName val="December(начис)_ZKM-ZinBV"/>
      <sheetName val="ЦентрЗатр"/>
      <sheetName val="ЕдИзм"/>
      <sheetName val="Предпр"/>
      <sheetName val="t0_name"/>
      <sheetName val="InputTD"/>
      <sheetName val="K_750_Sl_KPMG_report_Test"/>
      <sheetName val="K_300_RFD_KMG EP"/>
      <sheetName val="K_200_ES"/>
      <sheetName val="K_101_DDA_LS"/>
      <sheetName val="K_310_RFD_Uzen_rev"/>
      <sheetName val="K_120_FA_Sale"/>
      <sheetName val="I-Index"/>
      <sheetName val="ЦТУ (касса)"/>
      <sheetName val="ЕБРР"/>
      <sheetName val="ЕБРР 200 млн.$ 24.05.12"/>
      <sheetName val="Самрук"/>
      <sheetName val="БРК-188,2"/>
      <sheetName val="LME_prices"/>
      <sheetName val="5NK "/>
      <sheetName val="Доходы всего"/>
      <sheetName val="Доходы обороты"/>
      <sheetName val="ЛСЦ начисленное на 31.12.08"/>
      <sheetName val="ЛЛизинг начис. на 31.12.08"/>
      <sheetName val="ремонтТ9"/>
      <sheetName val="ктж"/>
      <sheetName val="ЖДА"/>
      <sheetName val="Доступ к МЖС"/>
      <sheetName val="авансы"/>
      <sheetName val="мать факт (изм НДС)"/>
      <sheetName val="ПВД"/>
      <sheetName val="прочие поступления"/>
      <sheetName val="кредитный бюджет 2014"/>
      <sheetName val="разработочная"/>
      <sheetName val="прочие выб по дзо"/>
      <sheetName val="инвест.разбивка"/>
      <sheetName val="оплата БЗ и ОСО для БДДС"/>
      <sheetName val="Соц.сфера"/>
      <sheetName val="расходы КТЖ"/>
      <sheetName val="Налоги"/>
      <sheetName val="прочие выбытия "/>
      <sheetName val="депозиты 2014"/>
      <sheetName val="УК и ФП"/>
      <sheetName val="бюджет 2013_освоение_)"/>
      <sheetName val="Production_Ref Q-1-3"/>
      <sheetName val="Analytics"/>
      <sheetName val="касса 2015-2019 год займы 16081"/>
      <sheetName val="FA Movement Kyrg"/>
      <sheetName val="База"/>
      <sheetName val="ОТиТБ"/>
      <sheetName val="бюджет 2015 займы 200815"/>
      <sheetName val="ОРУ ДО"/>
      <sheetName val="Добыча нефти4"/>
      <sheetName val="поставка сравн13"/>
      <sheetName val="из сем"/>
      <sheetName val="Форма3.6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ФОТ"/>
      <sheetName val="Титул1"/>
      <sheetName val="свод ао"/>
      <sheetName val="депозиты"/>
      <sheetName val="Статьи"/>
      <sheetName val="6НК"/>
      <sheetName val="Settings"/>
      <sheetName val="Transport overview"/>
      <sheetName val="Баланс"/>
      <sheetName val="Control"/>
      <sheetName val="B-4"/>
      <sheetName val="MAIN"/>
      <sheetName val="факт 2005 г."/>
      <sheetName val="2.2 ОтклОТМ"/>
      <sheetName val="1.3.2 ОТМ"/>
      <sheetName val="ГК лохл"/>
      <sheetName val="Апш"/>
      <sheetName val="Кумк"/>
      <sheetName val="Колум"/>
      <sheetName val="А Девел"/>
      <sheetName val="А Апш"/>
      <sheetName val="Девел"/>
      <sheetName val="А Кумк"/>
      <sheetName val="Экспл КОНС"/>
      <sheetName val="В-П"/>
      <sheetName val="А В-П"/>
      <sheetName val="А В-П КОНС"/>
      <sheetName val="БВО"/>
      <sheetName val="ЛОХЛ СВОД"/>
      <sheetName val="А ЛОХЛ СВОД"/>
      <sheetName val="А БВО"/>
      <sheetName val="Транспорт"/>
      <sheetName val="Расчет эксп бурения"/>
      <sheetName val="свод КВЛ (на печать)"/>
      <sheetName val="Данные"/>
      <sheetName val="сброс"/>
      <sheetName val="Hidden"/>
      <sheetName val="ДР 2011"/>
      <sheetName val="себ с ув."/>
      <sheetName val="KR(СВОД)"/>
      <sheetName val="д1"/>
      <sheetName val="СИ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Собственный капитал"/>
      <sheetName val="L-1"/>
      <sheetName val="2.2 ОтклОТМ"/>
      <sheetName val="1.3.2 ОТМ"/>
      <sheetName val="Предпр"/>
      <sheetName val="ЦентрЗатр"/>
      <sheetName val="ЕдИзм"/>
      <sheetName val="Ôîðìà2"/>
      <sheetName val="Ñîáñòâåííûé êàïèòàë"/>
      <sheetName val="Royalty"/>
      <sheetName val="Данные"/>
      <sheetName val="Transportation Services"/>
      <sheetName val="Summary"/>
      <sheetName val="Workover service"/>
      <sheetName val="Utilities Expense"/>
      <sheetName val="Test of FA Installation"/>
      <sheetName val="Additions"/>
      <sheetName val="14.1.2.2.(Услуги связи)"/>
      <sheetName val="7.1"/>
      <sheetName val="Def"/>
      <sheetName val="- 1 -"/>
      <sheetName val="ставки"/>
      <sheetName val="Inventory Count Sheet"/>
      <sheetName val="VLOOKUP"/>
      <sheetName val="INPUTMASTER"/>
      <sheetName val="Book Adjustments"/>
      <sheetName val="TB"/>
      <sheetName val="00"/>
      <sheetName val="Kas FA Movement"/>
      <sheetName val="InputTD"/>
      <sheetName val="Depr"/>
      <sheetName val="2_Loans to customers"/>
      <sheetName val="Financial ratios А3"/>
      <sheetName val="July_03_Pg8"/>
      <sheetName val="9"/>
      <sheetName val="Movements"/>
      <sheetName val="Movement"/>
      <sheetName val="P&amp;L"/>
      <sheetName val="Provisions"/>
      <sheetName val="9-1"/>
      <sheetName val="4"/>
      <sheetName val="1-1"/>
      <sheetName val="1"/>
      <sheetName val="Datasheet"/>
      <sheetName val="Содержание"/>
      <sheetName val="Capex"/>
      <sheetName val="Anlagevermögen"/>
      <sheetName val="Hidden"/>
      <sheetName val="Deferred tax"/>
      <sheetName val="FA Movement Kyrg"/>
      <sheetName val="Notes IS"/>
      <sheetName val="C 25"/>
      <sheetName val="2005 Social"/>
      <sheetName val="Data-in"/>
      <sheetName val="Info"/>
      <sheetName val="ЛСЦ начисленное на 31.12.08"/>
      <sheetName val="ЛЛизинг начис. на 31.12.08"/>
      <sheetName val="Production_Ref Q-1-3"/>
      <sheetName val="GAAP TB 31.12.01  detail p&amp;l"/>
      <sheetName val="8082"/>
      <sheetName val="8145"/>
      <sheetName val="8200"/>
      <sheetName val="8113"/>
      <sheetName val="8140"/>
      <sheetName val="8070"/>
      <sheetName val="breakdown"/>
      <sheetName val="FA depreciation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консолид Нурсат"/>
      <sheetName val="$ IS"/>
      <sheetName val="Cur portion of L-t loans 2006"/>
      <sheetName val="IS"/>
      <sheetName val="General Assumptions"/>
      <sheetName val="MODEL500"/>
      <sheetName val="TB-KZT"/>
      <sheetName val="TB USD"/>
      <sheetName val="1НК_объемы"/>
      <sheetName val="Control"/>
      <sheetName val="Interco payables&amp;receivables"/>
      <sheetName val=""/>
      <sheetName val="BS"/>
      <sheetName val="Intercompany transactions"/>
      <sheetName val="1NK"/>
      <sheetName val="De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8">
          <cell r="R18">
            <v>-785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Loans disclosure"/>
      <sheetName val="Movements"/>
      <sheetName val="% capitalization"/>
      <sheetName val="Cur portion of L-t loans calc"/>
      <sheetName val="Loans description"/>
      <sheetName val="Related parties"/>
      <sheetName val="Loan FX calc"/>
      <sheetName val="Sheet2"/>
      <sheetName val="Principal repayments test"/>
      <sheetName val="Principal withdrawals test"/>
      <sheetName val="Cash deposits &amp; cash curr acc's"/>
      <sheetName val="Bond withdrawals test"/>
      <sheetName val="Interest accruals"/>
      <sheetName val="Interest payable test"/>
      <sheetName val="Expected vs Actual"/>
      <sheetName val="Threshold Calc (2)"/>
      <sheetName val="Expected vs Actual (2)"/>
      <sheetName val="Transformation table"/>
      <sheetName val="Tickmarks"/>
      <sheetName val="Loans"/>
      <sheetName val="Movement"/>
      <sheetName val="Interest expense test"/>
      <sheetName val="Calculation of effective rate"/>
      <sheetName val="Calc amort discount expense"/>
      <sheetName val="Fair value"/>
      <sheetName val="Principal repayment test"/>
      <sheetName val="Expected vs Actual (3)"/>
      <sheetName val="Expected vs Actual (4)"/>
      <sheetName val="JBIC"/>
      <sheetName val="Spain"/>
      <sheetName val="54 units"/>
      <sheetName val="200 units"/>
      <sheetName val="Collaterals on loans"/>
      <sheetName val="XREF"/>
      <sheetName val="CMA testing"/>
      <sheetName val="ABN AMRO"/>
      <sheetName val="Movement (2)"/>
      <sheetName val="Collaterals on loans (2)"/>
      <sheetName val="Ex rates"/>
      <sheetName val="Собственный капитал"/>
      <sheetName val="PP&amp;E mvt for 2003"/>
      <sheetName val="Ñîáñòâåííûé êàïèòàë"/>
      <sheetName val="Capex"/>
      <sheetName val="Disclosure"/>
      <sheetName val="9-1"/>
      <sheetName val="4"/>
      <sheetName val="1-1"/>
      <sheetName val="1"/>
      <sheetName val="P&amp;L"/>
      <sheetName val="Provisions"/>
      <sheetName val="7"/>
      <sheetName val="10"/>
      <sheetName val="TOD of payments and receipts"/>
      <sheetName val="Interest recalculation"/>
      <sheetName val="Форма2"/>
      <sheetName val="из сем"/>
      <sheetName val="breakdown"/>
      <sheetName val="FA depreciation"/>
      <sheetName val="Datasheet"/>
      <sheetName val="Hidden"/>
      <sheetName val="Форма1"/>
      <sheetName val="Cur portion of L-t loans 2006"/>
      <sheetName val="Balance Sheet"/>
      <sheetName val="FA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heet"/>
      <sheetName val="Threshold Table"/>
      <sheetName val="Tickmarks"/>
      <sheetName val="Module1"/>
      <sheetName val="Determination of Threshold"/>
      <sheetName val="Analysis"/>
      <sheetName val="Datasheet"/>
      <sheetName val="Movements"/>
      <sheetName val="Anlagevermögen"/>
      <sheetName val="Собственный капитал"/>
      <sheetName val="9-1"/>
      <sheetName val="4"/>
      <sheetName val="1-1"/>
      <sheetName val="1"/>
      <sheetName val="PP&amp;E mvt for 2003"/>
      <sheetName val="P&amp;L"/>
      <sheetName val="Provisions"/>
      <sheetName val="SMSTemp"/>
      <sheetName val="Dictionaries"/>
      <sheetName val="Securities"/>
      <sheetName val="std tabel"/>
      <sheetName val="Форма2"/>
      <sheetName val="breakdown"/>
      <sheetName val="FA depreciation"/>
      <sheetName val="Sheet1"/>
      <sheetName val="ВСДС_1 (MAIN)"/>
      <sheetName val="Hidden"/>
      <sheetName val="Б.мчас (П)"/>
      <sheetName val="summary"/>
      <sheetName val="XREF"/>
      <sheetName val="CMA Calculations- R Factor"/>
      <sheetName val="CMA Calculations- Figure 5440.1"/>
      <sheetName val="д.7.001"/>
      <sheetName val="Disclosure"/>
      <sheetName val="ЦентрЗатр"/>
      <sheetName val="FA Movement Kyr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, Margins &amp; Inventory"/>
      <sheetName val="Income Analysis"/>
      <sheetName val="Bal Sheet"/>
      <sheetName val="Volumes"/>
      <sheetName val="Prepayments"/>
      <sheetName val="AR Analysis"/>
      <sheetName val="Advances Received"/>
      <sheetName val="Accounts payable"/>
      <sheetName val="Refining"/>
      <sheetName val="G&amp;A Analysis"/>
      <sheetName val="Selling Exp"/>
      <sheetName val=" GAAP Summary"/>
      <sheetName val="GAAP TB 31.12.01  detail p&amp;l"/>
      <sheetName val="Balance Sheet"/>
      <sheetName val="Datasheet"/>
      <sheetName val="9-1"/>
      <sheetName val="4"/>
      <sheetName val="1-1"/>
      <sheetName val="1"/>
      <sheetName val="Hidden"/>
      <sheetName val="ВСДС_1 (MAIN)"/>
      <sheetName val="calc"/>
      <sheetName val="Movements"/>
      <sheetName val="depreciation testing"/>
      <sheetName val="Собственный капитал"/>
      <sheetName val="PP&amp;E mvt for 2003"/>
      <sheetName val="P&amp;L"/>
      <sheetName val="Provisions"/>
      <sheetName val="3rd parties Sales"/>
      <sheetName val="summary"/>
      <sheetName val="ТМЗ-6"/>
      <sheetName val="Б.мчас (П)"/>
      <sheetName val="Форма2"/>
      <sheetName val="Movement"/>
      <sheetName val="Mvnt"/>
      <sheetName val="XREF"/>
      <sheetName val="Disclosure"/>
      <sheetName val="Курсы"/>
      <sheetName val="Титу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rade receivables 1401"/>
      <sheetName val="1530"/>
      <sheetName val="1531"/>
      <sheetName val="1570"/>
      <sheetName val="1450"/>
      <sheetName val="XREF"/>
      <sheetName val="Tickmark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Cust acc 2003"/>
      <sheetName val="Март"/>
      <sheetName val="Сентябрь"/>
      <sheetName val="Квартал"/>
      <sheetName val="Январь"/>
      <sheetName val="Декабрь"/>
      <sheetName val="Ноябрь"/>
      <sheetName val="2006 2Day Tel"/>
      <sheetName val="Бонды стр.341"/>
      <sheetName val="Hidden"/>
      <sheetName val="Mvnt"/>
      <sheetName val="Disclosure"/>
      <sheetName val="ТМЗ-6"/>
      <sheetName val="Head Count Planning"/>
      <sheetName val="Movement"/>
      <sheetName val="Апрель"/>
      <sheetName val="Июль"/>
      <sheetName val="Июнь"/>
      <sheetName val="DD Reserve calculation"/>
      <sheetName val="Datasheet"/>
      <sheetName val="Movements"/>
      <sheetName val="ВСДС_1 (MAIN)"/>
      <sheetName val="Форма2"/>
      <sheetName val="Форма1"/>
      <sheetName val="Additions testing"/>
      <sheetName val="Movement schedule"/>
      <sheetName val="depreciation testing"/>
      <sheetName val="База"/>
      <sheetName val="Б.мчас (П)"/>
      <sheetName val="7"/>
      <sheetName val="10"/>
      <sheetName val="1"/>
      <sheetName val="Список документов"/>
      <sheetName val="Analytics"/>
      <sheetName val="AHEPS"/>
      <sheetName val="OshHPP"/>
      <sheetName val="BHPP"/>
      <sheetName val="Макро"/>
      <sheetName val="PP&amp;E mvt for 2003"/>
      <sheetName val="Собственный капитал"/>
      <sheetName val="9-1"/>
      <sheetName val="4"/>
      <sheetName val="1-1"/>
      <sheetName val="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GOC - Global"/>
      <sheetName val="Ispol. Dir."/>
      <sheetName val="CDU"/>
      <sheetName val="Sever MES"/>
      <sheetName val="Akmola MES"/>
      <sheetName val="Center MES"/>
      <sheetName val="Sarbai MES"/>
      <sheetName val="Shymkent MES"/>
      <sheetName val="Zapad MES"/>
      <sheetName val="Astana"/>
      <sheetName val="Almaty MES"/>
      <sheetName val="Aktyube MES"/>
      <sheetName val="Vostok MES"/>
      <sheetName val="XREF"/>
      <sheetName val="Tickmarks"/>
      <sheetName val="summary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trade receivables 1401"/>
      <sheetName val="1530"/>
      <sheetName val="1450"/>
      <sheetName val="1531"/>
      <sheetName val="Movements"/>
      <sheetName val="Balance Sheet"/>
      <sheetName val="ТМЗ-6"/>
      <sheetName val="Собственный капитал"/>
      <sheetName val="Mvnt"/>
      <sheetName val="Disclosure"/>
      <sheetName val="Datasheet"/>
      <sheetName val="Бонды стр.341"/>
      <sheetName val="Hidden"/>
      <sheetName val="Movement"/>
      <sheetName val="PP&amp;E mvt for 2003"/>
      <sheetName val="Форма2"/>
      <sheetName val="4"/>
      <sheetName val="1-1"/>
      <sheetName val="1"/>
      <sheetName val="Б.мчас (П)"/>
      <sheetName val="ВСДС_1 (MAIN)"/>
      <sheetName val="7"/>
      <sheetName val="10"/>
      <sheetName val="Список документов"/>
      <sheetName val="GAAP TB 30.09.01  detail p&amp;l"/>
      <sheetName val="rollforward"/>
      <sheetName val="GAAP TB 31.12.01  detail p&amp;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Movement "/>
      <sheetName val="Breakdowns "/>
      <sheetName val="Dep-ion"/>
      <sheetName val="depreciation testing"/>
      <sheetName val="XREF"/>
      <sheetName val="Tickmarks"/>
      <sheetName val="M-100"/>
      <sheetName val="summary"/>
      <sheetName val="GAAP TB 31.12.01  detail p&amp;l"/>
      <sheetName val="FS"/>
      <sheetName val="Transformation table  2002"/>
      <sheetName val="Hidden"/>
      <sheetName val="10Cash"/>
      <sheetName val="GH_612"/>
      <sheetName val="Venit for cross reff"/>
      <sheetName val="GH_621"/>
      <sheetName val="GH_622"/>
      <sheetName val="Ter_612"/>
      <sheetName val="Ter_621"/>
      <sheetName val="Ter_622"/>
      <sheetName val="Ter_611"/>
      <sheetName val="AS_622"/>
      <sheetName val="GB_611"/>
      <sheetName val="GB_612"/>
      <sheetName val="GB_622"/>
      <sheetName val="GH_611"/>
      <sheetName val="B 1"/>
      <sheetName val="A 100"/>
      <sheetName val="% threshhold(salary)"/>
      <sheetName val="Breakdown of guarantees"/>
      <sheetName val="Статьи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Movements"/>
      <sheetName val="ТМЗ-6"/>
      <sheetName val="Capex"/>
      <sheetName val="П_макросы"/>
      <sheetName val="База"/>
      <sheetName val="material realised"/>
      <sheetName val="breakdown"/>
      <sheetName val="FA depreciation"/>
      <sheetName val="electricity"/>
      <sheetName val="Balance Sheet"/>
      <sheetName val="Mvnt"/>
      <sheetName val="Disclosure"/>
      <sheetName val="FA Movement Kyrg"/>
      <sheetName val="Форма2"/>
      <sheetName val="Форма1"/>
      <sheetName val="4"/>
      <sheetName val="1-1"/>
      <sheetName val="1"/>
      <sheetName val="Собственный капитал"/>
      <sheetName val="PP&amp;E mvt for 2003"/>
      <sheetName val="Rollforward"/>
      <sheetName val="Б.мчас (П)"/>
      <sheetName val="Intercompany transactions"/>
      <sheetName val="Бонды стр.341"/>
      <sheetName val="Additions testing"/>
      <sheetName val="Movement schedule"/>
      <sheetName val="Data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Movements"/>
      <sheetName val="Б.мчас (П)"/>
      <sheetName val="ЯНВАРЬ"/>
      <sheetName val="АПК реформа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из сем"/>
      <sheetName val="свод"/>
      <sheetName val="calc"/>
      <sheetName val="2008 ГСМ"/>
      <sheetName val="Плата за загрязнение "/>
      <sheetName val="Типограф"/>
      <sheetName val="PP&amp;E mvt for 2003"/>
      <sheetName val="IS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поставка сравн13"/>
      <sheetName val="канц"/>
      <sheetName val="Datasheet"/>
      <sheetName val="1 вариант  2009 "/>
      <sheetName val="Список документов"/>
      <sheetName val="GAAP TB 30.09.01  detail p&amp;l"/>
      <sheetName val="Лист2"/>
      <sheetName val="Гр5(о)"/>
      <sheetName val="Макро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факс(2005-20гг.)"/>
      <sheetName val="Собственный капитал"/>
      <sheetName val="$ IS"/>
      <sheetName val="7"/>
      <sheetName val="10"/>
      <sheetName val="1"/>
      <sheetName val="ЕдИзм"/>
      <sheetName val="Предпр"/>
      <sheetName val="УПРАВЛЕНИЕ11"/>
      <sheetName val="Disclosure"/>
      <sheetName val="Служебный ФКРБ"/>
      <sheetName val="Источник финансирования"/>
      <sheetName val="Способ закупки"/>
      <sheetName val="Тип пункта плана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4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прил№10"/>
      <sheetName val="1 (2)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FA Movement "/>
      <sheetName val="depreciation testing"/>
      <sheetName val="Бюджет тек. затрат"/>
      <sheetName val="Cashflow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Спр. раб.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доп.дан."/>
      <sheetName val="K-800 Imp. test"/>
      <sheetName val="FA register"/>
      <sheetName val="коммун."/>
      <sheetName val="Loaded"/>
      <sheetName val="ТД РАП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Input_Assumptions"/>
      <sheetName val="Служебный ФК_x0005__x0000_"/>
      <sheetName val="Securities"/>
      <sheetName val="ГМ "/>
      <sheetName val="Технический"/>
      <sheetName val="6НК簀⽕쐀⽕"/>
      <sheetName val="6НКԯ_x0000_缀_x0000_"/>
      <sheetName val="Служебный ФК_x0000__x0000_"/>
      <sheetName val="6НК_x0007__x001c_ _x000d_"/>
      <sheetName val="_x0000__x000e__x0000__x000a__x0000__x0008__x0000__x000a__x0000__x000b__x0000__x0010__x0000__x0007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полугодие"/>
      <sheetName val="Вып.П.П."/>
      <sheetName val="кварталы"/>
      <sheetName val="план"/>
      <sheetName val="Россия-экспорт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峔("/>
      <sheetName val="Служебный ФК厈-"/>
      <sheetName val="Служебный ФК⽄"/>
      <sheetName val="Служебный ФК嵔 "/>
      <sheetName val="Служебный ФК_xdd90__x0012_"/>
      <sheetName val="Служебный ФК『"/>
      <sheetName val="FA_Movement_"/>
      <sheetName val="depreciation_testing"/>
      <sheetName val="доп_дан_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План_произв-в_x0006__x000c__x0007__x000f__x0010__x0011__x0007__x0007_贰΢ǅ_x0000_Ā_x0000__x0000__x0000__x0000_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쀀Ø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Служебный ФК⽬"/>
      <sheetName val="Служебный ФК⿯"/>
      <sheetName val="6НК_x0007__x001c__x0009__x000d_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Форма2"/>
      <sheetName val="XREF"/>
      <sheetName val="поставка сравн13"/>
      <sheetName val="DWR_PRG"/>
      <sheetName val="FS-97"/>
      <sheetName val="МО 0012"/>
      <sheetName val="СписокТЭП"/>
      <sheetName val="A4.100"/>
      <sheetName val="авансы выданные-1"/>
      <sheetName val="Деб-1"/>
      <sheetName val="#REF"/>
      <sheetName val="yO302.1"/>
      <sheetName val="ввод-вывод ОС авг2004- 2005"/>
      <sheetName val="L-1"/>
      <sheetName val="ОТЧЕТ КТЖ 01.01.09"/>
      <sheetName val="Б.мчас (П)"/>
      <sheetName val="Нефть"/>
      <sheetName val="Форма1"/>
      <sheetName val="P&amp;L"/>
      <sheetName val="Provisions"/>
      <sheetName val="Movements"/>
      <sheetName val="summary"/>
      <sheetName val="сброс"/>
      <sheetName val="2.1.11консул _ инф"/>
      <sheetName val="breakdown"/>
      <sheetName val="FA depreciation"/>
      <sheetName val="FES"/>
      <sheetName val="Макро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д.7.001"/>
      <sheetName val="ТМЗ-6"/>
      <sheetName val="ЯНВАРЬ"/>
      <sheetName val="Datasheet"/>
      <sheetName val="#ССЫЛКА"/>
      <sheetName val="Balance Sheet"/>
      <sheetName val="ОТиТБ"/>
      <sheetName val="PP&amp;E mvt for 2003"/>
      <sheetName val="I. Прогноз доходов"/>
      <sheetName val="Лист2"/>
      <sheetName val="Anlagevermö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PP&amp;E mvt for 2003"/>
      <sheetName val="ЦентрЗатр"/>
      <sheetName val="ЕдИзм"/>
      <sheetName val="Предпр"/>
      <sheetName val="Capex"/>
      <sheetName val="Собственный капитал"/>
      <sheetName val="Б.мчас (П)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Anlagevermögen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Добыча нефти4"/>
      <sheetName val="поставка сравн13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Налоги"/>
      <sheetName val="calc"/>
      <sheetName val="Graph"/>
      <sheetName val="ввод-вывод ОС авг2004- 2005"/>
      <sheetName val="Kolommen_balans"/>
      <sheetName val="SA Procedures"/>
      <sheetName val="Пр 41"/>
      <sheetName val="5R"/>
      <sheetName val="Production_ref_Q4"/>
      <sheetName val="Sales-COS"/>
      <sheetName val="U2 775 - COGS comparison per su"/>
      <sheetName val="Analytics"/>
      <sheetName val="FA Movement Kyrg"/>
      <sheetName val="Reference"/>
      <sheetName val="Список документов"/>
      <sheetName val="перевозки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д.7.001"/>
      <sheetName val="-расчет налогов от ФОТ  на 2014"/>
      <sheetName val="Pbs_Wbs_ATC"/>
      <sheetName val="Non-Statistical Sampling Master"/>
      <sheetName val="Global Data"/>
      <sheetName val="SMSTemp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канц"/>
      <sheetName val="Datasheet"/>
      <sheetName val="1 вариант  2009 "/>
      <sheetName val="ОборБалФормОтч"/>
      <sheetName val="ТитулЛистОтч"/>
      <sheetName val="Форма3.6"/>
      <sheetName val="$ IS"/>
      <sheetName val="7"/>
      <sheetName val="10"/>
      <sheetName val="ОТиТБ"/>
      <sheetName val="misc"/>
      <sheetName val="Макро"/>
      <sheetName val="Лист2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Содержание"/>
      <sheetName val="Гр5(о)"/>
      <sheetName val="Meta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расчет"/>
      <sheetName val="ФОТ и соц.налог "/>
      <sheetName val="амортизация"/>
      <sheetName val="ээ"/>
      <sheetName val="свод по материал"/>
      <sheetName val="р№1"/>
      <sheetName val="№2"/>
      <sheetName val="Услуги банков"/>
      <sheetName val="налог"/>
      <sheetName val="ЦХЛ 2004"/>
      <sheetName val="FES"/>
      <sheetName val="СВОДНАЯ ГРУП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Преискурант"/>
      <sheetName val="7.1"/>
      <sheetName val="ЦентрЗатр"/>
      <sheetName val="из сем"/>
      <sheetName val="FES"/>
      <sheetName val="6НК-cт."/>
      <sheetName val="ЕдИзм"/>
      <sheetName val="База"/>
      <sheetName val="Hidden"/>
      <sheetName val="ОТиТБ"/>
      <sheetName val="Пр2"/>
      <sheetName val="ДС МЗК"/>
      <sheetName val="Титул1"/>
      <sheetName val="PP&amp;E mvt for 2003"/>
      <sheetName val="definitions"/>
      <sheetName val="101"/>
      <sheetName val="Sheet1"/>
      <sheetName val="ТМЗ-6"/>
      <sheetName val="данные"/>
      <sheetName val="Flash Report SDC(EUR)"/>
      <sheetName val="1BO"/>
      <sheetName val="Info"/>
      <sheetName val="Предпр"/>
      <sheetName val="form_электрон"/>
      <sheetName val="6 NK"/>
      <sheetName val="Control"/>
      <sheetName val="ОТЧЕТ КТЖ 01.01.09"/>
      <sheetName val="XREF"/>
      <sheetName val="Б.мчас (П)"/>
      <sheetName val="Собственный капитал"/>
    </sheetNames>
    <sheetDataSet>
      <sheetData sheetId="0" refreshError="1"/>
      <sheetData sheetId="1" refreshError="1">
        <row r="22">
          <cell r="C22" t="str">
            <v/>
          </cell>
        </row>
      </sheetData>
      <sheetData sheetId="2" refreshError="1">
        <row r="22">
          <cell r="C22" t="str">
            <v/>
          </cell>
        </row>
        <row r="56">
          <cell r="C56" t="str">
            <v/>
          </cell>
        </row>
        <row r="61">
          <cell r="C61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9">
          <cell r="C79" t="str">
            <v/>
          </cell>
        </row>
        <row r="80">
          <cell r="C80" t="str">
            <v/>
          </cell>
        </row>
        <row r="81">
          <cell r="C81" t="str">
            <v/>
          </cell>
        </row>
        <row r="82">
          <cell r="C82" t="str">
            <v/>
          </cell>
        </row>
        <row r="84">
          <cell r="C84" t="str">
            <v/>
          </cell>
        </row>
        <row r="85">
          <cell r="C85" t="str">
            <v/>
          </cell>
        </row>
        <row r="86">
          <cell r="C86" t="str">
            <v/>
          </cell>
        </row>
        <row r="88">
          <cell r="C88" t="str">
            <v/>
          </cell>
        </row>
        <row r="89">
          <cell r="C89" t="str">
            <v/>
          </cell>
        </row>
        <row r="92">
          <cell r="C92" t="str">
            <v/>
          </cell>
        </row>
        <row r="93">
          <cell r="C93" t="str">
            <v/>
          </cell>
        </row>
        <row r="94">
          <cell r="C94" t="str">
            <v/>
          </cell>
        </row>
        <row r="95">
          <cell r="C95" t="str">
            <v/>
          </cell>
        </row>
        <row r="97">
          <cell r="C97" t="str">
            <v/>
          </cell>
        </row>
        <row r="98">
          <cell r="C98" t="str">
            <v/>
          </cell>
        </row>
        <row r="99">
          <cell r="C99" t="str">
            <v/>
          </cell>
        </row>
        <row r="100">
          <cell r="C100" t="str">
            <v/>
          </cell>
        </row>
        <row r="102">
          <cell r="C102" t="str">
            <v/>
          </cell>
        </row>
        <row r="103">
          <cell r="C103" t="str">
            <v/>
          </cell>
        </row>
        <row r="104">
          <cell r="C104" t="str">
            <v/>
          </cell>
        </row>
        <row r="106">
          <cell r="C106" t="str">
            <v/>
          </cell>
        </row>
        <row r="107">
          <cell r="C107" t="str">
            <v/>
          </cell>
        </row>
        <row r="113">
          <cell r="C113" t="str">
            <v/>
          </cell>
        </row>
        <row r="114">
          <cell r="C114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Б.мчас (П)"/>
      <sheetName val="д.7.001"/>
      <sheetName val="list"/>
      <sheetName val="Пр2"/>
      <sheetName val="Плата за загрязнение "/>
      <sheetName val="Типограф"/>
      <sheetName val="2008 ГСМ"/>
      <sheetName val="FES"/>
      <sheetName val="Спр_ пласт"/>
      <sheetName val="Спр_ мест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Форма1"/>
      <sheetName val="ОТиТБ"/>
      <sheetName val="факт 2005 г."/>
      <sheetName val="3310"/>
      <sheetName val="Дт-Кт"/>
      <sheetName val="PP&amp;E mvt for 2003"/>
      <sheetName val="7.1"/>
      <sheetName val="Hidden"/>
      <sheetName val="д.7.001"/>
      <sheetName val="из сем"/>
      <sheetName val="База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ДС МЗК"/>
      <sheetName val="Собственный капитал"/>
      <sheetName val="7"/>
      <sheetName val="10"/>
      <sheetName val="d_pok"/>
      <sheetName val="13,40 Авансы_получ"/>
      <sheetName val="июль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производство"/>
      <sheetName val="Титул1"/>
      <sheetName val="ЯНВАРЬ"/>
      <sheetName val="матер"/>
      <sheetName val="Read me fir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Форма1"/>
      <sheetName val="Financial ratios А3"/>
      <sheetName val="группа"/>
      <sheetName val="Пр2"/>
      <sheetName val="факт 2005 г."/>
      <sheetName val="balans 3"/>
      <sheetName val="З"/>
      <sheetName val="Ден потоки"/>
      <sheetName val="00"/>
      <sheetName val="Лист1"/>
      <sheetName val="1.411.1"/>
      <sheetName val="ОТиТБ"/>
      <sheetName val="Hidden"/>
      <sheetName val="Haul cons"/>
      <sheetName val="Распределение прибыли"/>
      <sheetName val="ДС МЗК"/>
      <sheetName val="Текущие цены"/>
      <sheetName val="рабочий"/>
      <sheetName val="окраска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ремонт 25"/>
      <sheetName val="ФС-75"/>
      <sheetName val="ФСМн "/>
      <sheetName val="ФХ "/>
      <sheetName val="ФХС-40 "/>
      <sheetName val="ФХС-48 "/>
      <sheetName val="ОХР"/>
      <sheetName val="Info"/>
      <sheetName val="всп"/>
      <sheetName val="ДБСП_02_ 2002"/>
      <sheetName val="свод2010г по гр."/>
      <sheetName val="по 2007 году план на 2008 год"/>
      <sheetName val="Sheet1"/>
      <sheetName val="#ССЫЛКА"/>
      <sheetName val="Январь"/>
      <sheetName val="Movements"/>
      <sheetName val="UNITPRICES"/>
      <sheetName val="Счет-ф"/>
      <sheetName val="Sheet3"/>
      <sheetName val="Sheet4"/>
      <sheetName val="1БО"/>
      <sheetName val="EVA"/>
      <sheetName val="коэфф"/>
      <sheetName val="2БК"/>
      <sheetName val="3БО"/>
      <sheetName val="Свод"/>
      <sheetName val="Исход"/>
      <sheetName val="3БК"/>
      <sheetName val="5П"/>
      <sheetName val="4П"/>
      <sheetName val="WACC"/>
      <sheetName val="д.7.001"/>
      <sheetName val="3БК Инвестиции"/>
      <sheetName val="янв"/>
      <sheetName val="Сдача "/>
      <sheetName val="Статьи затрат"/>
      <sheetName val="14.1.2.2.(Услуги связи)"/>
      <sheetName val="Ф3"/>
      <sheetName val="Income $"/>
      <sheetName val="3.ФОТ"/>
      <sheetName val="Лист2"/>
      <sheetName val="Бюдж-тенге"/>
      <sheetName val="Книга1"/>
      <sheetName val="5NK "/>
      <sheetName val="ЕдИзм"/>
      <sheetName val="план07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s"/>
      <sheetName val="PP&amp;E mvt for 2003"/>
      <sheetName val="аренда"/>
      <sheetName val="Справочник"/>
      <sheetName val="Баланс"/>
      <sheetName val="Лист1 (3)"/>
      <sheetName val="на 31.12.07 (4)"/>
      <sheetName val="CIP Dec 2006"/>
      <sheetName val="7.1"/>
      <sheetName val="КлассификаторЗнач"/>
      <sheetName val="Main Page"/>
      <sheetName val="L-1"/>
      <sheetName val="1610"/>
      <sheetName val="1210"/>
      <sheetName val="База"/>
      <sheetName val="TB"/>
      <sheetName val="PR CN"/>
      <sheetName val="Comp06"/>
      <sheetName val="предприятия"/>
      <sheetName val="оборудование"/>
      <sheetName val="SUN TB"/>
      <sheetName val="ЦентрЗатр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вознаграждение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SAD Schedule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t0_name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list"/>
      <sheetName val="Список документов"/>
      <sheetName val="с 01.08 по 17.10 = 1569 вагонов"/>
      <sheetName val="линии"/>
      <sheetName val="счетчики"/>
      <sheetName val="потр"/>
      <sheetName val="СН"/>
      <sheetName val="ДД"/>
      <sheetName val="канц"/>
      <sheetName val="Настройки"/>
      <sheetName val="Индексы"/>
      <sheetName val="Datasheet"/>
      <sheetName val="B 1"/>
      <sheetName val="C 25"/>
      <sheetName val="A 100"/>
      <sheetName val="PP&amp;E_mvt_for_2003"/>
      <sheetName val="B_1"/>
      <sheetName val="C_25"/>
      <sheetName val="A_100"/>
      <sheetName val="2БО"/>
      <sheetName val="Cashflow"/>
      <sheetName val="14_1_2_2_(Услуги_связи)"/>
      <sheetName val="14_1_2_2__Услуги связи_"/>
      <sheetName val="7_1"/>
      <sheetName val="14_1_2_2__Услуги_связи_"/>
      <sheetName val="ДБСП_02__2002"/>
      <sheetName val="Транспорт"/>
      <sheetName val="Depr"/>
      <sheetName val="Control"/>
      <sheetName val="VLOOKUP"/>
      <sheetName val="INPUTMASTER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из_сем2"/>
      <sheetName val="Лист1_(3)"/>
      <sheetName val="на_31_12_07_(4)"/>
      <sheetName val="CIP_Dec_2006"/>
      <sheetName val="План_закупок"/>
      <sheetName val="Командировочные_расходы"/>
      <sheetName val="12_из_57_АЗС"/>
      <sheetName val="__2_3_2"/>
      <sheetName val="МО_001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свод2010г_по_гр_"/>
      <sheetName val="Статьи_затрат"/>
      <sheetName val="Income_$"/>
      <sheetName val="2008_ГСМ"/>
      <sheetName val="Плата_за_загрязнение_"/>
      <sheetName val="3_ФОТ"/>
      <sheetName val="2а_(4)"/>
      <sheetName val="выданы_таб_№_(от_25_01_12_ОК)"/>
      <sheetName val="по_2007_году_план_на_2008_год"/>
      <sheetName val="Страхование_ГПО_охр_2"/>
      <sheetName val="исп_см_"/>
      <sheetName val="SUN_TB"/>
      <sheetName val="C-Total_Market"/>
      <sheetName val="I-Demand_Drivers"/>
      <sheetName val="расчет_ГСМ_НА_2013Г"/>
      <sheetName val="канат_прод_"/>
      <sheetName val="2_2_ОтклОТМ"/>
      <sheetName val="1_3_2_ОТМ"/>
      <sheetName val="д_7_001"/>
      <sheetName val="3БК_Инвестиции"/>
      <sheetName val="26_04_2013_(2)"/>
      <sheetName val="СВОД Логистика"/>
      <sheetName val="апрель"/>
      <sheetName val="май"/>
      <sheetName val="март"/>
      <sheetName val="фев"/>
      <sheetName val="класс"/>
      <sheetName val="Список"/>
      <sheetName val="Treatment Summary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из_сем3"/>
      <sheetName val="PP&amp;E_mvt_for_20031"/>
      <sheetName val="ДБСП_02__20021"/>
      <sheetName val="факт_2005_г_1"/>
      <sheetName val="Лист1_(3)1"/>
      <sheetName val="на_31_12_07_(4)1"/>
      <sheetName val="CIP_Dec_20061"/>
      <sheetName val="7_11"/>
      <sheetName val="Изменяемые_данные1"/>
      <sheetName val="Financial_ratios_А31"/>
      <sheetName val="План_закупок1"/>
      <sheetName val="Командировочные_расходы1"/>
      <sheetName val="12_из_57_АЗС1"/>
      <sheetName val="__2_3_21"/>
      <sheetName val="МО_00121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свод2010г_по_гр_1"/>
      <sheetName val="Статьи_затрат1"/>
      <sheetName val="Income_$1"/>
      <sheetName val="14_1_2_2_(Услуги_связи)1"/>
      <sheetName val="balans_31"/>
      <sheetName val="1_411_11"/>
      <sheetName val="Ден_потоки1"/>
      <sheetName val="Haul_cons1"/>
      <sheetName val="Распределение_прибыли1"/>
      <sheetName val="2008_ГСМ1"/>
      <sheetName val="Плата_за_загрязнение_1"/>
      <sheetName val="3_ФОТ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SUN_TB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6_04_2013_(2)1"/>
      <sheetName val="СВОД_Логистика"/>
      <sheetName val="Treatment_Summary"/>
      <sheetName val="FES"/>
      <sheetName val="PR_CN"/>
      <sheetName val="Кабельная продукция"/>
      <sheetName val="Ком плат"/>
      <sheetName val="Списки"/>
      <sheetName val="УО"/>
      <sheetName val="_ 2_3_2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4.Налоги"/>
      <sheetName val="Логистика"/>
      <sheetName val="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опотиз"/>
      <sheetName val="8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>
        <row r="1">
          <cell r="G1" t="str">
            <v/>
          </cell>
        </row>
      </sheetData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>
        <row r="1">
          <cell r="G1" t="str">
            <v xml:space="preserve"> </v>
          </cell>
        </row>
      </sheetData>
      <sheetData sheetId="248" refreshError="1"/>
      <sheetData sheetId="249">
        <row r="1">
          <cell r="G1" t="str">
            <v/>
          </cell>
        </row>
      </sheetData>
      <sheetData sheetId="250" refreshError="1"/>
      <sheetData sheetId="251">
        <row r="1">
          <cell r="G1" t="str">
            <v/>
          </cell>
        </row>
      </sheetData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1">
          <cell r="G1" t="str">
            <v/>
          </cell>
        </row>
      </sheetData>
      <sheetData sheetId="258">
        <row r="1">
          <cell r="G1" t="str">
            <v/>
          </cell>
        </row>
      </sheetData>
      <sheetData sheetId="259" refreshError="1"/>
      <sheetData sheetId="260">
        <row r="1">
          <cell r="G1" t="str">
            <v/>
          </cell>
        </row>
      </sheetData>
      <sheetData sheetId="261">
        <row r="1">
          <cell r="G1" t="str">
            <v/>
          </cell>
        </row>
      </sheetData>
      <sheetData sheetId="262">
        <row r="1">
          <cell r="G1" t="str">
            <v/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 t="str">
            <v/>
          </cell>
        </row>
      </sheetData>
      <sheetData sheetId="265">
        <row r="1">
          <cell r="G1" t="str">
            <v/>
          </cell>
        </row>
      </sheetData>
      <sheetData sheetId="266">
        <row r="1">
          <cell r="G1" t="str">
            <v/>
          </cell>
        </row>
      </sheetData>
      <sheetData sheetId="267">
        <row r="1">
          <cell r="G1" t="str">
            <v/>
          </cell>
        </row>
      </sheetData>
      <sheetData sheetId="268">
        <row r="1">
          <cell r="G1" t="str">
            <v/>
          </cell>
        </row>
      </sheetData>
      <sheetData sheetId="269">
        <row r="1">
          <cell r="G1" t="str">
            <v/>
          </cell>
        </row>
      </sheetData>
      <sheetData sheetId="270">
        <row r="1">
          <cell r="G1" t="str">
            <v/>
          </cell>
        </row>
      </sheetData>
      <sheetData sheetId="271">
        <row r="1">
          <cell r="G1" t="str">
            <v/>
          </cell>
        </row>
      </sheetData>
      <sheetData sheetId="272">
        <row r="1">
          <cell r="G1" t="str">
            <v/>
          </cell>
        </row>
      </sheetData>
      <sheetData sheetId="273">
        <row r="1">
          <cell r="G1" t="str">
            <v/>
          </cell>
        </row>
      </sheetData>
      <sheetData sheetId="274">
        <row r="1">
          <cell r="G1" t="str">
            <v/>
          </cell>
        </row>
      </sheetData>
      <sheetData sheetId="275">
        <row r="1">
          <cell r="G1" t="str">
            <v/>
          </cell>
        </row>
      </sheetData>
      <sheetData sheetId="276">
        <row r="1">
          <cell r="G1" t="str">
            <v/>
          </cell>
        </row>
      </sheetData>
      <sheetData sheetId="277">
        <row r="1">
          <cell r="G1" t="str">
            <v xml:space="preserve"> </v>
          </cell>
        </row>
      </sheetData>
      <sheetData sheetId="278">
        <row r="1">
          <cell r="G1" t="str">
            <v/>
          </cell>
        </row>
      </sheetData>
      <sheetData sheetId="279">
        <row r="1">
          <cell r="G1" t="str">
            <v xml:space="preserve"> </v>
          </cell>
        </row>
      </sheetData>
      <sheetData sheetId="280">
        <row r="1">
          <cell r="G1" t="str">
            <v/>
          </cell>
        </row>
      </sheetData>
      <sheetData sheetId="281">
        <row r="1">
          <cell r="G1" t="str">
            <v/>
          </cell>
        </row>
      </sheetData>
      <sheetData sheetId="282"/>
      <sheetData sheetId="283">
        <row r="1">
          <cell r="G1" t="str">
            <v xml:space="preserve"> </v>
          </cell>
        </row>
      </sheetData>
      <sheetData sheetId="284">
        <row r="1">
          <cell r="G1" t="str">
            <v/>
          </cell>
        </row>
      </sheetData>
      <sheetData sheetId="285">
        <row r="1">
          <cell r="G1" t="str">
            <v/>
          </cell>
        </row>
      </sheetData>
      <sheetData sheetId="286">
        <row r="1">
          <cell r="G1" t="str">
            <v xml:space="preserve"> </v>
          </cell>
        </row>
      </sheetData>
      <sheetData sheetId="287">
        <row r="1">
          <cell r="G1" t="str">
            <v/>
          </cell>
        </row>
      </sheetData>
      <sheetData sheetId="288">
        <row r="1">
          <cell r="G1" t="str">
            <v xml:space="preserve"> </v>
          </cell>
        </row>
      </sheetData>
      <sheetData sheetId="289">
        <row r="1">
          <cell r="G1" t="str">
            <v/>
          </cell>
        </row>
      </sheetData>
      <sheetData sheetId="290">
        <row r="1">
          <cell r="G1" t="str">
            <v/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 t="str">
            <v/>
          </cell>
        </row>
      </sheetData>
      <sheetData sheetId="294">
        <row r="1">
          <cell r="G1" t="str">
            <v/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 t="str">
            <v/>
          </cell>
        </row>
      </sheetData>
      <sheetData sheetId="298"/>
      <sheetData sheetId="299">
        <row r="1">
          <cell r="G1" t="str">
            <v xml:space="preserve"> </v>
          </cell>
        </row>
      </sheetData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/>
      <sheetData sheetId="364"/>
      <sheetData sheetId="365" refreshError="1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Форма2"/>
      <sheetName val="Форма1"/>
      <sheetName val="Пр2"/>
      <sheetName val="Hidden"/>
      <sheetName val="флормиро"/>
      <sheetName val="элементы"/>
      <sheetName val="5NK "/>
      <sheetName val="Форма3.6"/>
      <sheetName val="Нефть"/>
      <sheetName val="ОТиТБ"/>
      <sheetName val="ДС МЗК"/>
      <sheetName val="База"/>
      <sheetName val="XREF"/>
      <sheetName val="#ССЫЛКА"/>
      <sheetName val="summary"/>
      <sheetName val="Лист2"/>
      <sheetName val="д.7.001"/>
      <sheetName val="Фин план"/>
      <sheetName val="Изменяемые данные"/>
      <sheetName val="14.1.2.2.(Услуги связи)"/>
      <sheetName val="Move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5NK "/>
      <sheetName val="флормиро"/>
      <sheetName val="Hidden"/>
      <sheetName val="СписокТЭП"/>
      <sheetName val="Титул1"/>
      <sheetName val="цены14"/>
      <sheetName val="#REF"/>
      <sheetName val="Нефть"/>
      <sheetName val="Лист2"/>
      <sheetName val="д.7.001"/>
      <sheetName val="Текущие цены"/>
      <sheetName val="рабочий"/>
      <sheetName val="окраска"/>
      <sheetName val="ЕдИзм"/>
      <sheetName val="ДС МЗК"/>
      <sheetName val="Форма3.6"/>
      <sheetName val="ОТиТБ"/>
      <sheetName val="Форма1"/>
      <sheetName val="справка"/>
      <sheetName val="группа"/>
      <sheetName val="list"/>
      <sheetName val="LME_prices"/>
      <sheetName val="Ден потоки"/>
      <sheetName val="Water trucking 2005"/>
      <sheetName val="УПРАВЛЕНИЕ11"/>
      <sheetName val="МАТЕР.433,452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титул.лист "/>
      <sheetName val="ремонт 25"/>
      <sheetName val="ЛКЗ и ЭКЗ"/>
      <sheetName val="материалы"/>
      <sheetName val="Financial ratios А3"/>
      <sheetName val="Справочник"/>
      <sheetName val="ФОТ"/>
      <sheetName val="измен. формы"/>
      <sheetName val="1.411.1"/>
      <sheetName val="Индексы"/>
      <sheetName val="#REF!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Добыча нефти4"/>
      <sheetName val="Потребители"/>
      <sheetName val="Блоки"/>
      <sheetName val="Пок"/>
      <sheetName val="NOV"/>
      <sheetName val="Пр2"/>
      <sheetName val="Сдача "/>
      <sheetName val="Форма2"/>
      <sheetName val="Loans out"/>
      <sheetName val="ОборБалФормОтч"/>
      <sheetName val="МО 0012"/>
      <sheetName val="Бюджет"/>
      <sheetName val="Assumptions"/>
      <sheetName val="СПгнг"/>
      <sheetName val="ведомость"/>
      <sheetName val="Ввод"/>
      <sheetName val="Лист3"/>
      <sheetName val="12 из 57 АЗС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N_SVOD"/>
      <sheetName val="5NK "/>
      <sheetName val="по 2007 году план на 2008 год"/>
      <sheetName val="Труд."/>
      <sheetName val="Форма 18"/>
      <sheetName val="БиВи (290)"/>
      <sheetName val="450"/>
      <sheetName val="Сеть"/>
      <sheetName val="Спецификация"/>
      <sheetName val="МодельППП (Свод)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МАТЕР.433,452"/>
      <sheetName val="PL12"/>
      <sheetName val="K6210"/>
      <sheetName val="1. Доходы"/>
      <sheetName val="общие данные"/>
      <sheetName val="отделы"/>
      <sheetName val="Начисления процентов"/>
      <sheetName val="точн2"/>
      <sheetName val="Макр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Форма3.6"/>
      <sheetName val="14_1_2_2_(Услуги_связи)1"/>
      <sheetName val="14_1_2_2_(Услуги_связи)"/>
      <sheetName val="14_1_2_2_(Услуги_связи)2"/>
      <sheetName val="Сдача "/>
      <sheetName val="Бюджет"/>
      <sheetName val="ЕдИзм"/>
      <sheetName val="Предпр"/>
      <sheetName val="7.1"/>
      <sheetName val="Ф4_КБМ+АФ"/>
      <sheetName val="Справочник"/>
      <sheetName val="14_1_2_2__Услуги связи_"/>
      <sheetName val="Treatment Summary"/>
      <sheetName val="Пром1"/>
      <sheetName val="L-1 Займ БРК инвест цели"/>
      <sheetName val="G-1"/>
      <sheetName val="Assumptions"/>
      <sheetName val="  2.3.2"/>
      <sheetName val="11"/>
      <sheetName val="Содержание"/>
      <sheetName val="Добыча нефти4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1Утв ТК  Capex 07 "/>
      <sheetName val="исп.см."/>
      <sheetName val="по 2007 году план на 2008 год"/>
      <sheetName val="справка"/>
      <sheetName val="группа"/>
      <sheetName val="д.7.001"/>
      <sheetName val="5NK "/>
      <sheetName val="Пр2"/>
      <sheetName val="ОТиТБ"/>
      <sheetName val="list"/>
      <sheetName val="2002(v1)"/>
      <sheetName val="AFS"/>
      <sheetName val="СписокТЭП"/>
      <sheetName val="БиВи (290)"/>
      <sheetName val="Лист5"/>
      <sheetName val="L-1"/>
      <sheetName val="I. Прогноз доходов"/>
      <sheetName val="Нефть"/>
      <sheetName val="LME_prices"/>
      <sheetName val="Prelim Co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Месяц"/>
      <sheetName val="Расчет2000Прямой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ОСВ"/>
      <sheetName val="Лист3"/>
      <sheetName val="точн2"/>
      <sheetName val="ФП"/>
      <sheetName val="450 (2)"/>
      <sheetName val="флормиро"/>
      <sheetName val="приложение№3"/>
      <sheetName val="Add-s test"/>
      <sheetName val="АЗФ"/>
      <sheetName val="АК"/>
      <sheetName val="Актюбе"/>
      <sheetName val="ССГПО"/>
      <sheetName val="ввод-вывод ОС авг2004- 2005"/>
      <sheetName val="BS new"/>
      <sheetName val="2007 0,01"/>
      <sheetName val="Накл"/>
      <sheetName val="Loans out"/>
      <sheetName val="июнь"/>
      <sheetName val="май 203"/>
      <sheetName val="Лист6"/>
      <sheetName val="Лист1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Гр5(о)"/>
      <sheetName val="свод"/>
      <sheetName val="Hidden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МАТЕР.433,452"/>
      <sheetName val="исходные данные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Sheet1"/>
      <sheetName val="ГБ"/>
      <sheetName val="мат расходы"/>
      <sheetName val="план"/>
      <sheetName val="2.8. стр-ра себестоимости"/>
      <sheetName val="#REF!"/>
      <sheetName val="Сводная"/>
      <sheetName val="Баланс"/>
      <sheetName val="Предпосылки"/>
      <sheetName val="IS"/>
      <sheetName val="Форма 18"/>
    </sheetNames>
    <sheetDataSet>
      <sheetData sheetId="0" refreshError="1"/>
      <sheetData sheetId="1" refreshError="1"/>
      <sheetData sheetId="2" refreshError="1"/>
      <sheetData sheetId="3">
        <row r="13">
          <cell r="C13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КМГ"/>
      <sheetName val="Модель КТО"/>
      <sheetName val="МодельППП (Свод)"/>
      <sheetName val="МодельППП (нефть)"/>
      <sheetName val="МодельППП (вода)"/>
      <sheetName val="МодельАП (Свод)"/>
      <sheetName val="МодельАП (Нефть)"/>
      <sheetName val="Использование природного сырья"/>
      <sheetName val="МодельАП (Вода)"/>
      <sheetName val="Сырье и материалы"/>
      <sheetName val="ГСМ"/>
      <sheetName val="Топливо"/>
      <sheetName val="ФОТ"/>
      <sheetName val="Энергия"/>
      <sheetName val="Амортизация"/>
      <sheetName val="Кап. ремонт"/>
      <sheetName val="ЗФ КР"/>
      <sheetName val="Капитализация (ЗФ)"/>
      <sheetName val="Тек.ремонт"/>
      <sheetName val="ПНР"/>
      <sheetName val="Технол.расходы"/>
      <sheetName val="Авиа"/>
      <sheetName val="Услуги связи"/>
      <sheetName val="Связь"/>
      <sheetName val="Транспорт грузов"/>
      <sheetName val="Служба метрологии"/>
      <sheetName val="Ком.расходы"/>
      <sheetName val="Диагностика"/>
      <sheetName val="ОТиТБ"/>
      <sheetName val="НИОКР"/>
      <sheetName val="НТД"/>
      <sheetName val="подготовка кадров "/>
      <sheetName val="Охрана окр.среды"/>
      <sheetName val="Страхование"/>
      <sheetName val="сод. и лиц. автотр. "/>
      <sheetName val="Другие прочие "/>
      <sheetName val="услуги банков"/>
      <sheetName val="почтово-канц. расходы"/>
      <sheetName val="Содерж. адм.зданий"/>
      <sheetName val="Аренда"/>
      <sheetName val="юр конслт услуги"/>
      <sheetName val="Налоги"/>
      <sheetName val="Реклама"/>
      <sheetName val="Имиджевая"/>
      <sheetName val="охрана"/>
      <sheetName val="Другие2"/>
      <sheetName val="соц пособия и МП"/>
      <sheetName val="Спонсорская помощь"/>
      <sheetName val="Социальная сфера"/>
      <sheetName val="Расх.на кул.озд.мер. "/>
      <sheetName val="Пр. соцвыплаты"/>
      <sheetName val="Форма2"/>
      <sheetName val="ЦХЛ 2004"/>
      <sheetName val="#ССЫЛКА"/>
      <sheetName val="Movements"/>
      <sheetName val="Б.мчас (П)"/>
      <sheetName val="База"/>
      <sheetName val="Титул1"/>
      <sheetName val="I. Прогноз доходов"/>
      <sheetName val="Добыча нефти4"/>
      <sheetName val="поставка сравн13"/>
      <sheetName val="Форма3.6"/>
      <sheetName val="СписокТЭП"/>
      <sheetName val="list"/>
      <sheetName val="FES"/>
      <sheetName val="Сеть"/>
      <sheetName val="  2.3.2"/>
      <sheetName val="5NK "/>
      <sheetName val="Сводный бизнес-план"/>
      <sheetName val="14.1.2.2.(Услуги связи)"/>
      <sheetName val="2.2 ОтклОТМ"/>
      <sheetName val="1.3.2 ОТМ"/>
      <sheetName val="Предпр"/>
      <sheetName val="ЦентрЗатр"/>
      <sheetName val="ЕдИзм"/>
      <sheetName val="общие данные"/>
      <sheetName val="отделы"/>
      <sheetName val="ввод-вывод ОС авг2004- 2005"/>
      <sheetName val="бартер"/>
      <sheetName val="L-1"/>
      <sheetName val="Форма1"/>
      <sheetName val="LME_prices"/>
      <sheetName val="Макро"/>
      <sheetName val="д.7.001"/>
      <sheetName val="Hidden"/>
      <sheetName val="P&amp;L"/>
      <sheetName val="Provisions"/>
      <sheetName val="Бюдж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Сверка"/>
      <sheetName val="Prelim Cost"/>
      <sheetName val="#ССЫЛКА"/>
      <sheetName val="бартер"/>
      <sheetName val="1 класс"/>
      <sheetName val="2 класс"/>
      <sheetName val="3 класс"/>
      <sheetName val="4 класс"/>
      <sheetName val="5 класс"/>
      <sheetName val="Сеть"/>
      <sheetName val="t0_name"/>
      <sheetName val="ИД"/>
      <sheetName val="Отпуск продукции"/>
      <sheetName val="1"/>
      <sheetName val="MS"/>
      <sheetName val="общие данные"/>
      <sheetName val="спецпит,проездн."/>
      <sheetName val="13 NGDO"/>
      <sheetName val="FES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14.1.2.2.(Услуги связи)"/>
      <sheetName val="табель"/>
      <sheetName val="Баланс"/>
      <sheetName val="Sheet5"/>
      <sheetName val="Штатное 2012-2015"/>
      <sheetName val="смета"/>
      <sheetName val="Форма1"/>
      <sheetName val="10 БО (kzt)"/>
      <sheetName val="Бюджет"/>
      <sheetName val="Пр2"/>
      <sheetName val="ввод-вывод ОС авг2004- 2005"/>
      <sheetName val="Форма3.6"/>
      <sheetName val="элементы"/>
      <sheetName val="5NK "/>
      <sheetName val="L-1"/>
      <sheetName val="из сем"/>
      <sheetName val="Нефть"/>
      <sheetName val="флормиро"/>
      <sheetName val="  2.3.2"/>
      <sheetName val="MATRIX_DA_10"/>
      <sheetName val="PL12"/>
      <sheetName val="ПРОГНОЗ_1"/>
      <sheetName val="отделы"/>
      <sheetName val="Cash flow 2011"/>
      <sheetName val="list"/>
      <sheetName val="Потребители"/>
      <sheetName val="Блоки"/>
      <sheetName val="VLOOKUP"/>
      <sheetName val="INPUTMASTER"/>
      <sheetName val="КБ"/>
      <sheetName val="Способ закупки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АТиК"/>
      <sheetName val="д.7.001"/>
      <sheetName val="Datasheet"/>
      <sheetName val="Сдача "/>
      <sheetName val="s"/>
      <sheetName val="Hidden"/>
      <sheetName val="ЭКРБ"/>
      <sheetName val="1 (2)"/>
      <sheetName val="Об-я св-а"/>
      <sheetName val="2в"/>
      <sheetName val="Гр5(о)"/>
      <sheetName val="УУ 9 мес.2014"/>
      <sheetName val="BS new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Направления обучения"/>
      <sheetName val="Приложение 7 (ЕНП)"/>
      <sheetName val="сортамент"/>
      <sheetName val="Лист5"/>
      <sheetName val="Заполните"/>
      <sheetName val="План"/>
      <sheetName val="Факт"/>
      <sheetName val="потр"/>
      <sheetName val="СН"/>
      <sheetName val="Лист3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ЦХЛ 2004"/>
      <sheetName val="_FES"/>
      <sheetName val="2210900-Aug"/>
      <sheetName val="прочие поступлен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ОТиТБ"/>
      <sheetName val="Добыча нефти4"/>
      <sheetName val="поставка сравн13"/>
      <sheetName val="МодельППП (Свод)"/>
      <sheetName val="Лист1"/>
      <sheetName val="FES"/>
      <sheetName val="Пром1"/>
      <sheetName val="СПгнг"/>
      <sheetName val="13 NGDO"/>
      <sheetName val="ЦентрЗатр"/>
      <sheetName val="2_2_ОтклОТМ"/>
      <sheetName val="1_3_2_ОТМ"/>
      <sheetName val="жд тарифы"/>
      <sheetName val="1кв. "/>
      <sheetName val="2кв."/>
      <sheetName val="14.1.2.2.(Услуги связи)"/>
      <sheetName val="I. Прогноз доходов"/>
      <sheetName val="бартер"/>
      <sheetName val="Input TD"/>
      <sheetName val="2.2 ОтклОТМ"/>
      <sheetName val="1.3.2 ОТМ"/>
      <sheetName val="Предпр"/>
      <sheetName val="ЕдИзм"/>
      <sheetName val="ОборБалФормОтч"/>
      <sheetName val="МО 0012"/>
      <sheetName val="Статьи ТЭП_старая структура"/>
      <sheetName val="Notes IS"/>
      <sheetName val="1NK"/>
      <sheetName val="#ССЫЛКА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1"/>
      <sheetName val="MS"/>
      <sheetName val="табель"/>
      <sheetName val="Баланс"/>
      <sheetName val="Sheet5"/>
      <sheetName val="ввод-вывод ОС авг2004- 2005"/>
      <sheetName val="Сеть"/>
      <sheetName val="общие данные"/>
      <sheetName val="Loans out"/>
      <sheetName val="5NK "/>
      <sheetName val="из сем"/>
      <sheetName val="Форма1"/>
      <sheetName val="10 БО (kzt)"/>
      <sheetName val="Штатное 2012-2015"/>
      <sheetName val="смета"/>
      <sheetName val="Бюджет"/>
      <sheetName val="Пр2"/>
      <sheetName val="  2.3.2"/>
      <sheetName val="PL12"/>
      <sheetName val="MATRIX_DA_10"/>
      <sheetName val="Форма3.6"/>
      <sheetName val="элементы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L-1"/>
      <sheetName val="Титул1"/>
      <sheetName val="Нефть"/>
      <sheetName val="флормиро"/>
      <sheetName val="s"/>
      <sheetName val="Hidden"/>
      <sheetName val="Способ закупки"/>
      <sheetName val="Макро"/>
      <sheetName val="list"/>
      <sheetName val="1 (2)"/>
      <sheetName val="2в"/>
      <sheetName val="Об-я св-а"/>
      <sheetName val="МОП"/>
      <sheetName val="Cash flow 2011"/>
      <sheetName val="ЭКРБ"/>
      <sheetName val="7НК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потр"/>
      <sheetName val="СН"/>
      <sheetName val="апрель 09."/>
      <sheetName val="сброс"/>
      <sheetName val="КБ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VLOOKUP"/>
      <sheetName val="INPUTMASTER"/>
      <sheetName val="АТиК"/>
      <sheetName val="Потребители"/>
      <sheetName val="Блоки"/>
      <sheetName val="Сдача "/>
      <sheetName val="Datasheet"/>
      <sheetName val="ПРОГНОЗ_1"/>
      <sheetName val="отделы"/>
      <sheetName val="Приложение 7 (ЕНП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I KEY INFORMATION"/>
      <sheetName val="Счетчики"/>
      <sheetName val="ОТиТБ"/>
      <sheetName val="ввод-вывод ОС авг2004- 2005"/>
      <sheetName val="ID-06"/>
      <sheetName val="СПгнг"/>
      <sheetName val="группа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из сем"/>
      <sheetName val="глина"/>
      <sheetName val="13 NGDO"/>
      <sheetName val="жд тарифы"/>
      <sheetName val="2 БО (тенге)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класс"/>
      <sheetName val="Об-я св-а"/>
      <sheetName val="2БО"/>
      <sheetName val="Пром1"/>
      <sheetName val="#REF"/>
      <sheetName val="ЦентрЗатр"/>
      <sheetName val="Лист3"/>
      <sheetName val="Отпуск продукции"/>
      <sheetName val="1NK"/>
      <sheetName val="LME_prices"/>
      <sheetName val="Сеть"/>
      <sheetName val="Спецификация"/>
      <sheetName val="МодельППП (Свод)"/>
      <sheetName val="PL12"/>
      <sheetName val="потр"/>
      <sheetName val="СН"/>
      <sheetName val="Осн"/>
      <sheetName val="Статьи затрат"/>
      <sheetName val="2007 0,01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Пр2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П_ДО_БЛ "/>
      <sheetName val="аренда цс"/>
      <sheetName val="Баз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Лист 1"/>
      <sheetName val="Ввод"/>
      <sheetName val="д.7.001"/>
      <sheetName val="list"/>
      <sheetName val="Потребители"/>
      <sheetName val="Блоки"/>
      <sheetName val="Пок"/>
      <sheetName val="NOV"/>
      <sheetName val="Сдача "/>
      <sheetName val="ОборБалФормОтч"/>
      <sheetName val="Бюджет"/>
      <sheetName val="Assumptions"/>
      <sheetName val="ведомость"/>
      <sheetName val="12 из 57 АЗС"/>
      <sheetName val="Loans out"/>
      <sheetName val="Баланс"/>
      <sheetName val="Нефть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N_SVOD"/>
      <sheetName val="5NK "/>
      <sheetName val="по 2007 году план на 2008 год"/>
      <sheetName val="Труд."/>
      <sheetName val="PV-date"/>
      <sheetName val="табель"/>
      <sheetName val="Способ закупки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3.ФОТ"/>
      <sheetName val="Курсы"/>
      <sheetName val="ТЭП старая"/>
      <sheetName val="постоянные затраты"/>
      <sheetName val="7НК"/>
      <sheetName val="данн"/>
      <sheetName val="indx"/>
      <sheetName val="Транс12дек"/>
      <sheetName val="МАТЕР.433,452"/>
      <sheetName val="1. Доходы"/>
      <sheetName val="баки _2_"/>
      <sheetName val="Prelim Cost"/>
      <sheetName val="смета"/>
      <sheetName val="Накл"/>
      <sheetName val="MATRIX_DA_10"/>
      <sheetName val="Data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ИД"/>
      <sheetName val="Dictionaries"/>
      <sheetName val="_"/>
      <sheetName val="2002(v2)"/>
      <sheetName val="BS new"/>
      <sheetName val="_x0000__x0003__x0000__x0004__x0000_"/>
      <sheetName val="_x0000_ _x0000_"/>
      <sheetName val="_x0000__x0009__x0000_"/>
      <sheetName val="цеховые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 refreshError="1"/>
      <sheetData sheetId="170"/>
      <sheetData sheetId="171" refreshError="1"/>
      <sheetData sheetId="172" refreshError="1"/>
      <sheetData sheetId="173"/>
      <sheetData sheetId="174"/>
      <sheetData sheetId="175" refreshError="1"/>
      <sheetData sheetId="176"/>
      <sheetData sheetId="177"/>
      <sheetData sheetId="178" refreshError="1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 refreshError="1"/>
      <sheetData sheetId="187"/>
      <sheetData sheetId="188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/>
      <sheetData sheetId="196" refreshError="1"/>
      <sheetData sheetId="197" refreshError="1"/>
      <sheetData sheetId="198" refreshError="1"/>
      <sheetData sheetId="199" refreshError="1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/>
      <sheetData sheetId="383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ставки"/>
      <sheetName val="Сводная"/>
      <sheetName val="Испания_начисление"/>
      <sheetName val="КП_на 01.01.2009"/>
      <sheetName val="ТТК начис. на 31.12.08"/>
      <sheetName val="ЛЛизинг начис. на 31.12.08"/>
      <sheetName val="ЛСЦ начисленное на 31.12.08"/>
      <sheetName val="транстелеком БРК (2)"/>
      <sheetName val="транстелеком ABN (2)"/>
      <sheetName val="Япония_начисление"/>
      <sheetName val="54 ДГУ_начисление"/>
      <sheetName val="200 ДГУ_начисление"/>
      <sheetName val="Бонды_начисление"/>
      <sheetName val="Лист2"/>
      <sheetName val="Лист3"/>
      <sheetName val="L-1"/>
      <sheetName val="СписокТЭП"/>
      <sheetName val="Форма2"/>
      <sheetName val="Balance Sheet"/>
      <sheetName val="База"/>
      <sheetName val="ввод-вывод ОС авг2004- 2005"/>
      <sheetName val="ОТиТБ"/>
      <sheetName val="#ССЫЛКА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ement schedule"/>
      <sheetName val="Disclosure (leasing)"/>
      <sheetName val="depreciation testing"/>
      <sheetName val=" threshhold"/>
      <sheetName val="Additions testing"/>
      <sheetName val="Tickmarks"/>
      <sheetName val="Disposals testing"/>
      <sheetName val=" threshold"/>
      <sheetName val="Leased Assets"/>
      <sheetName val="FA Movement-consolidated-2000"/>
      <sheetName val="depreciation testing (2)"/>
      <sheetName val="FA UZ"/>
      <sheetName val="Disposals"/>
      <sheetName val="adds"/>
      <sheetName val="1651 "/>
      <sheetName val="FA Rollforward"/>
      <sheetName val="LME_prices"/>
      <sheetName val="L-1"/>
      <sheetName val="9"/>
      <sheetName val="FA Movement "/>
      <sheetName val="FS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СписокТЭП"/>
      <sheetName val="ОТиТБ"/>
      <sheetName val="элементы"/>
      <sheetName val="Worksheet in 5640 FA roll-forwa"/>
      <sheetName val="Movement"/>
      <sheetName val="Venit for cross reff"/>
      <sheetName val="GH_621"/>
      <sheetName val="GH_622"/>
      <sheetName val="Ter_612"/>
      <sheetName val="Ter_621"/>
      <sheetName val="Ter_622"/>
      <sheetName val="Ter_611"/>
      <sheetName val="AS_622"/>
      <sheetName val="GB_611"/>
      <sheetName val="GB_612"/>
      <sheetName val="GB_622"/>
      <sheetName val="GH_611"/>
      <sheetName val="GH_612"/>
      <sheetName val="Transformation table  2002"/>
      <sheetName val="Intercompany transactions"/>
      <sheetName val="свод"/>
      <sheetName val="Def"/>
      <sheetName val="Securities"/>
      <sheetName val="Rollforward"/>
      <sheetName val="Payroll 2004"/>
      <sheetName val="Depreciation"/>
      <sheetName val="Summary"/>
      <sheetName val="P_L"/>
      <sheetName val="Provisions"/>
      <sheetName val="Статьи"/>
      <sheetName val="GAAP TB 31.12.01  detail p&amp;l"/>
      <sheetName val="services.01"/>
      <sheetName val="breakdown"/>
      <sheetName val="Threshold Calc"/>
      <sheetName val="FA depreciation"/>
      <sheetName val="utilities.01"/>
      <sheetName val="Лист3"/>
      <sheetName val="#ССЫЛКА"/>
      <sheetName val="Форма2"/>
      <sheetName val="ТМЗ-6"/>
      <sheetName val="Нефть"/>
      <sheetName val="поставка сравн13"/>
      <sheetName val="флормиро"/>
      <sheetName val="МодельППП (Свод)"/>
      <sheetName val="P&amp;L"/>
      <sheetName val="ввод-вывод ОС авг2004- 2005"/>
      <sheetName val="Hidden"/>
      <sheetName val="сброс"/>
      <sheetName val="material realised"/>
      <sheetName val="electricity"/>
      <sheetName val="Balance Sheet"/>
      <sheetName val="FES"/>
      <sheetName val="Добыча нефти4"/>
      <sheetName val="Rollfwd PBC"/>
      <sheetName val="Additions"/>
      <sheetName val="База"/>
      <sheetName val="Гр5(о)"/>
      <sheetName val="Сеть"/>
      <sheetName val="Input_2"/>
    </sheetNames>
    <sheetDataSet>
      <sheetData sheetId="0">
        <row r="20">
          <cell r="E20">
            <v>121332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Баланс"/>
      <sheetName val="Нефть"/>
      <sheetName val="поставка сравн13"/>
      <sheetName val="Форма2"/>
      <sheetName val="ОТиТБ"/>
      <sheetName val="LME_prices"/>
      <sheetName val="группа"/>
      <sheetName val="Исходн"/>
      <sheetName val="СписокТЭП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отр"/>
      <sheetName val="СН"/>
      <sheetName val="Потребители"/>
      <sheetName val="Блоки"/>
      <sheetName val="Пок"/>
      <sheetName val="NOV"/>
      <sheetName val="Пр2"/>
      <sheetName val="предприятия"/>
      <sheetName val="Добыча нефти4"/>
      <sheetName val="UNITPRICES"/>
      <sheetName val="Добычанефти4"/>
      <sheetName val="поставкасравн13"/>
      <sheetName val="FES"/>
      <sheetName val="#"/>
      <sheetName val="Лист5"/>
      <sheetName val="Позиция"/>
      <sheetName val="пожар.охрана"/>
      <sheetName val="рев на 09.06."/>
      <sheetName val="Расчет2000Прямой"/>
      <sheetName val="#REF"/>
      <sheetName val="L-1 (БРК)"/>
      <sheetName val="g-1"/>
      <sheetName val="Лист3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t0_name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Лист 1"/>
      <sheetName val="Ввод"/>
      <sheetName val="д.7.001"/>
      <sheetName val="list"/>
      <sheetName val="Сдача "/>
      <sheetName val="ОборБалФормОтч"/>
      <sheetName val="МО 0012"/>
      <sheetName val="Бюджет"/>
      <sheetName val="Assumptions"/>
      <sheetName val="СПгнг"/>
      <sheetName val="ведомость"/>
      <sheetName val="12 из 57 АЗС"/>
      <sheetName val="Loans out"/>
      <sheetName val="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Отпуск продукции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N_SVOD"/>
      <sheetName val="5NK "/>
      <sheetName val="по 2007 году план на 2008 год"/>
      <sheetName val="Труд."/>
      <sheetName val="Сеть"/>
      <sheetName val="Спецификация"/>
      <sheetName val="МодельППП (Свод)"/>
      <sheetName val="БиВи (290)"/>
      <sheetName val="450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МАТЕР.433,452"/>
      <sheetName val="PL12"/>
      <sheetName val="PV-date"/>
      <sheetName val="табель"/>
      <sheetName val="Способ закупки"/>
      <sheetName val="7НК"/>
      <sheetName val="indx"/>
      <sheetName val="Транс12дек"/>
      <sheetName val="Гр5(о)"/>
      <sheetName val="1. Доходы"/>
      <sheetName val="спр. АРЕМ"/>
      <sheetName val="AFS"/>
      <sheetName val="смета"/>
      <sheetName val="Additions testing"/>
      <sheetName val="Movement schedule"/>
      <sheetName val="depreciation testing"/>
      <sheetName val="_"/>
      <sheetName val="FA Movement "/>
      <sheetName val="форма 3 смета затрат"/>
      <sheetName val="Заявлени+сдач.обх.по 22.02.12"/>
      <sheetName val="Месяц"/>
      <sheetName val="зоны"/>
      <sheetName val="баки _2_"/>
      <sheetName val="1_x0004__x0000__x0007__x0000__x0006__x0000__x000e__x0000_"/>
      <sheetName val="_x0009__x0000_"/>
      <sheetName val=" _x0000_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"/>
      <sheetName val="Содержание"/>
      <sheetName val="KMG"/>
      <sheetName val="KTZ"/>
      <sheetName val="AA"/>
      <sheetName val="KEGOC"/>
      <sheetName val="KTEL"/>
      <sheetName val="KPOST"/>
      <sheetName val="KENG"/>
      <sheetName val="1ГО"/>
      <sheetName val="2ГО"/>
      <sheetName val="Справка"/>
      <sheetName val="Dictionaries"/>
      <sheetName val="FES"/>
      <sheetName val="ЦХЛ 2004"/>
      <sheetName val="Доходы"/>
      <sheetName val="ОРУ ктж "/>
      <sheetName val="ОРУ Д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B2" t="str">
            <v>Январь</v>
          </cell>
        </row>
        <row r="3">
          <cell r="B3" t="str">
            <v>Февраль</v>
          </cell>
        </row>
        <row r="4">
          <cell r="B4" t="str">
            <v>Март</v>
          </cell>
        </row>
        <row r="5">
          <cell r="B5" t="str">
            <v>Апрель</v>
          </cell>
        </row>
        <row r="6">
          <cell r="B6" t="str">
            <v>Май</v>
          </cell>
        </row>
        <row r="7">
          <cell r="B7" t="str">
            <v>Июнь</v>
          </cell>
        </row>
        <row r="8">
          <cell r="B8" t="str">
            <v>Июль</v>
          </cell>
        </row>
        <row r="9">
          <cell r="B9" t="str">
            <v>Август</v>
          </cell>
        </row>
        <row r="10">
          <cell r="B10" t="str">
            <v>Сентябрь</v>
          </cell>
        </row>
        <row r="11">
          <cell r="B11" t="str">
            <v>Октябрь</v>
          </cell>
        </row>
        <row r="12">
          <cell r="B12" t="str">
            <v>Ноябрь</v>
          </cell>
        </row>
        <row r="13">
          <cell r="B13" t="str">
            <v>Декабрь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2НК"/>
      <sheetName val="6НК"/>
      <sheetName val="8НК"/>
      <sheetName val="1БК"/>
      <sheetName val="2БК"/>
      <sheetName val="3БК"/>
      <sheetName val="4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3ГО"/>
      <sheetName val="HR_KPI"/>
      <sheetName val="Персонал"/>
      <sheetName val="1-СП"/>
      <sheetName val="2-О"/>
      <sheetName val="Справка"/>
      <sheetName val="KPI List"/>
      <sheetName val="Dictionaries"/>
      <sheetName val="FES"/>
      <sheetName val="ЦХЛ 2004"/>
    </sheetNames>
    <sheetDataSet>
      <sheetData sheetId="0" refreshError="1"/>
      <sheetData sheetId="1" refreshError="1">
        <row r="4">
          <cell r="D4" t="str">
            <v>2008 г.</v>
          </cell>
        </row>
        <row r="5">
          <cell r="D5">
            <v>2008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 (DM)"/>
      <sheetName val="Prov (USD)"/>
      <sheetName val="obs NTM "/>
      <sheetName val="Obs cig"/>
      <sheetName val="Str costs"/>
      <sheetName val="M-100"/>
      <sheetName val="Anlagevermögen"/>
      <sheetName val="#ССЫЛКА"/>
      <sheetName val="LE 05 attachment"/>
      <sheetName val="Содержание"/>
      <sheetName val="misc"/>
      <sheetName val="Info"/>
      <sheetName val="Threshold Table"/>
      <sheetName val="Dictionaries"/>
      <sheetName val="2210900-Aug"/>
      <sheetName val="CMA Calculations- Figure 5440.1"/>
      <sheetName val="CMA Calculations- R Factor"/>
      <sheetName val="HideSheet"/>
      <sheetName val="Loans out"/>
      <sheetName val="FES"/>
      <sheetName val="Graph"/>
      <sheetName val="Sales"/>
      <sheetName val="ARDet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B9FBF-A44C-47CF-9A4F-4CE87BDCAE86}">
  <dimension ref="A1:BX375"/>
  <sheetViews>
    <sheetView tabSelected="1" view="pageBreakPreview" zoomScale="75" zoomScaleNormal="70" zoomScaleSheetLayoutView="75" workbookViewId="0">
      <pane xSplit="3" ySplit="8" topLeftCell="D108" activePane="bottomRight" state="frozen"/>
      <selection pane="topRight" activeCell="D1" sqref="D1"/>
      <selection pane="bottomLeft" activeCell="A9" sqref="A9"/>
      <selection pane="bottomRight" activeCell="C2" sqref="C2"/>
    </sheetView>
  </sheetViews>
  <sheetFormatPr defaultRowHeight="12.75" outlineLevelRow="1" outlineLevelCol="1" x14ac:dyDescent="0.25"/>
  <cols>
    <col min="1" max="1" width="3.42578125" style="1" customWidth="1"/>
    <col min="2" max="2" width="18.42578125" style="10" customWidth="1"/>
    <col min="3" max="3" width="15.7109375" style="10" customWidth="1"/>
    <col min="4" max="4" width="11.5703125" style="10" customWidth="1"/>
    <col min="5" max="5" width="10" style="6" customWidth="1"/>
    <col min="6" max="6" width="10.28515625" style="6" customWidth="1"/>
    <col min="7" max="7" width="7.42578125" style="9" customWidth="1"/>
    <col min="8" max="8" width="6.7109375" style="3" customWidth="1"/>
    <col min="9" max="9" width="10.140625" style="6" customWidth="1"/>
    <col min="10" max="10" width="10.42578125" style="6" customWidth="1"/>
    <col min="11" max="11" width="19.28515625" style="11" customWidth="1"/>
    <col min="12" max="12" width="16.42578125" style="10" customWidth="1"/>
    <col min="13" max="13" width="8.42578125" style="9" customWidth="1"/>
    <col min="14" max="15" width="16.140625" style="8" hidden="1" customWidth="1" outlineLevel="1"/>
    <col min="16" max="16" width="16.140625" style="8" bestFit="1" customWidth="1" collapsed="1"/>
    <col min="17" max="17" width="16" style="8" customWidth="1"/>
    <col min="18" max="18" width="8.85546875" style="7" customWidth="1"/>
    <col min="19" max="19" width="5.85546875" style="3" customWidth="1"/>
    <col min="20" max="21" width="9.28515625" style="6" hidden="1" customWidth="1" outlineLevel="1"/>
    <col min="22" max="22" width="4.140625" style="6" hidden="1" customWidth="1" outlineLevel="1"/>
    <col min="23" max="24" width="9.28515625" style="6" hidden="1" customWidth="1" outlineLevel="1"/>
    <col min="25" max="25" width="4.140625" style="6" hidden="1" customWidth="1" outlineLevel="1"/>
    <col min="26" max="26" width="6.7109375" style="6" hidden="1" customWidth="1" outlineLevel="1"/>
    <col min="27" max="27" width="6.5703125" style="6" hidden="1" customWidth="1" outlineLevel="1"/>
    <col min="28" max="28" width="4.28515625" style="6" hidden="1" customWidth="1" outlineLevel="1"/>
    <col min="29" max="29" width="9.85546875" style="6" hidden="1" customWidth="1" outlineLevel="1"/>
    <col min="30" max="30" width="10" style="6" hidden="1" customWidth="1" outlineLevel="1"/>
    <col min="31" max="31" width="5.42578125" style="6" hidden="1" customWidth="1" outlineLevel="1"/>
    <col min="32" max="33" width="10" style="6" hidden="1" customWidth="1" outlineLevel="1"/>
    <col min="34" max="34" width="5.42578125" style="6" hidden="1" customWidth="1" outlineLevel="1"/>
    <col min="35" max="35" width="9.85546875" style="6" customWidth="1" collapsed="1"/>
    <col min="36" max="36" width="9.85546875" style="6" customWidth="1"/>
    <col min="37" max="37" width="7.28515625" style="6" customWidth="1"/>
    <col min="38" max="38" width="10.5703125" style="6" bestFit="1" customWidth="1"/>
    <col min="39" max="39" width="10" style="3" bestFit="1" customWidth="1"/>
    <col min="40" max="40" width="6.7109375" style="6" customWidth="1"/>
    <col min="41" max="42" width="10.5703125" style="5" bestFit="1" customWidth="1"/>
    <col min="43" max="43" width="7.140625" style="5" customWidth="1"/>
    <col min="44" max="44" width="7.28515625" style="1" customWidth="1"/>
    <col min="45" max="45" width="12" style="4" customWidth="1"/>
    <col min="46" max="46" width="11.5703125" style="4" customWidth="1"/>
    <col min="47" max="47" width="11.7109375" style="4" customWidth="1"/>
    <col min="48" max="49" width="10" style="3" hidden="1" customWidth="1" outlineLevel="1"/>
    <col min="50" max="50" width="7.140625" style="3" hidden="1" customWidth="1" outlineLevel="1"/>
    <col min="51" max="51" width="10.5703125" style="3" customWidth="1" collapsed="1"/>
    <col min="52" max="52" width="11.140625" style="3" customWidth="1"/>
    <col min="53" max="53" width="13.5703125" style="3" hidden="1" customWidth="1" outlineLevel="1"/>
    <col min="54" max="54" width="10.5703125" style="3" hidden="1" customWidth="1" outlineLevel="1"/>
    <col min="55" max="55" width="13" style="3" customWidth="1" collapsed="1"/>
    <col min="56" max="57" width="11.7109375" style="3" hidden="1" customWidth="1" outlineLevel="1"/>
    <col min="58" max="58" width="12.42578125" style="3" customWidth="1" collapsed="1"/>
    <col min="59" max="59" width="14.85546875" style="3" hidden="1" customWidth="1" outlineLevel="1"/>
    <col min="60" max="60" width="12.5703125" style="3" hidden="1" customWidth="1" outlineLevel="1"/>
    <col min="61" max="61" width="10.5703125" style="3" hidden="1" customWidth="1" outlineLevel="1"/>
    <col min="62" max="62" width="11.5703125" style="3" hidden="1" customWidth="1" outlineLevel="1"/>
    <col min="63" max="63" width="15.28515625" style="3" hidden="1" customWidth="1" outlineLevel="1"/>
    <col min="64" max="64" width="10.42578125" style="3" customWidth="1" collapsed="1"/>
    <col min="65" max="65" width="19.42578125" style="1" customWidth="1"/>
    <col min="66" max="66" width="12" style="1" hidden="1" customWidth="1" outlineLevel="1"/>
    <col min="67" max="67" width="17.85546875" style="1" hidden="1" customWidth="1" outlineLevel="1"/>
    <col min="68" max="68" width="23.28515625" style="1" hidden="1" customWidth="1" outlineLevel="1"/>
    <col min="69" max="69" width="18.42578125" style="1" hidden="1" customWidth="1" outlineLevel="1"/>
    <col min="70" max="70" width="11.28515625" style="1" hidden="1" customWidth="1" outlineLevel="1"/>
    <col min="71" max="71" width="11.140625" style="1" hidden="1" customWidth="1" outlineLevel="1"/>
    <col min="72" max="72" width="11.42578125" style="1" hidden="1" customWidth="1" outlineLevel="1"/>
    <col min="73" max="73" width="13.7109375" style="1" hidden="1" customWidth="1" outlineLevel="1"/>
    <col min="74" max="74" width="12.42578125" style="1" hidden="1" customWidth="1" outlineLevel="1"/>
    <col min="75" max="75" width="24.42578125" style="1" customWidth="1" collapsed="1"/>
    <col min="76" max="76" width="17.140625" style="2" customWidth="1"/>
    <col min="77" max="16384" width="9.140625" style="1"/>
  </cols>
  <sheetData>
    <row r="1" spans="1:76" ht="16.5" customHeight="1" x14ac:dyDescent="0.25">
      <c r="BL1" s="610" t="s">
        <v>232</v>
      </c>
    </row>
    <row r="2" spans="1:76" s="13" customFormat="1" ht="42" customHeight="1" x14ac:dyDescent="0.25">
      <c r="B2" s="617"/>
      <c r="C2" s="617"/>
      <c r="E2" s="616" t="s">
        <v>231</v>
      </c>
      <c r="F2" s="616"/>
      <c r="G2" s="616"/>
      <c r="H2" s="616"/>
      <c r="I2" s="616"/>
      <c r="J2" s="616"/>
      <c r="K2" s="616"/>
      <c r="L2" s="616"/>
      <c r="M2" s="616"/>
      <c r="N2" s="616"/>
      <c r="O2" s="616"/>
      <c r="P2" s="616"/>
      <c r="Q2" s="616"/>
      <c r="R2" s="616"/>
      <c r="S2" s="616"/>
      <c r="T2" s="615"/>
      <c r="U2" s="615"/>
      <c r="V2" s="615"/>
      <c r="W2" s="615"/>
      <c r="X2" s="615"/>
      <c r="Y2" s="615"/>
      <c r="Z2" s="614"/>
      <c r="AA2" s="614"/>
      <c r="AB2" s="614"/>
      <c r="AC2" s="614"/>
      <c r="AD2" s="614"/>
      <c r="AE2" s="614"/>
      <c r="AF2" s="614"/>
      <c r="AG2" s="614"/>
      <c r="AH2" s="614"/>
      <c r="AI2" s="614"/>
      <c r="AJ2" s="614"/>
      <c r="AK2" s="614"/>
      <c r="AL2" s="614"/>
      <c r="AM2" s="611"/>
      <c r="AN2" s="614"/>
      <c r="AO2" s="613"/>
      <c r="AP2" s="613"/>
      <c r="AQ2" s="613"/>
      <c r="AR2" s="609"/>
      <c r="AS2" s="612"/>
      <c r="AT2" s="612"/>
      <c r="AU2" s="612"/>
      <c r="AV2" s="611"/>
      <c r="AW2" s="611"/>
      <c r="AX2" s="611"/>
      <c r="AY2" s="611"/>
      <c r="AZ2" s="611"/>
      <c r="BA2" s="611"/>
      <c r="BB2" s="611"/>
      <c r="BC2" s="611"/>
      <c r="BD2" s="611"/>
      <c r="BE2" s="611"/>
      <c r="BF2" s="611"/>
      <c r="BG2" s="611"/>
      <c r="BH2" s="611"/>
      <c r="BI2" s="611"/>
      <c r="BJ2" s="611"/>
      <c r="BK2" s="611"/>
      <c r="BL2" s="610" t="s">
        <v>230</v>
      </c>
      <c r="BM2" s="609"/>
      <c r="BN2" s="609"/>
      <c r="BO2" s="609"/>
      <c r="BP2" s="609"/>
      <c r="BQ2" s="609"/>
      <c r="BR2" s="609"/>
      <c r="BS2" s="609"/>
      <c r="BT2" s="609"/>
      <c r="BX2" s="2"/>
    </row>
    <row r="3" spans="1:76" ht="29.25" customHeight="1" x14ac:dyDescent="0.25">
      <c r="BC3" s="608"/>
      <c r="BF3" s="608"/>
      <c r="BM3" s="607" t="s">
        <v>229</v>
      </c>
      <c r="BT3" s="607"/>
    </row>
    <row r="4" spans="1:76" ht="28.5" customHeight="1" x14ac:dyDescent="0.25">
      <c r="A4" s="592" t="s">
        <v>228</v>
      </c>
      <c r="B4" s="606" t="s">
        <v>227</v>
      </c>
      <c r="C4" s="606" t="s">
        <v>226</v>
      </c>
      <c r="D4" s="606" t="s">
        <v>225</v>
      </c>
      <c r="E4" s="581" t="s">
        <v>224</v>
      </c>
      <c r="F4" s="581"/>
      <c r="G4" s="581"/>
      <c r="H4" s="581"/>
      <c r="I4" s="581"/>
      <c r="J4" s="581"/>
      <c r="K4" s="581" t="s">
        <v>223</v>
      </c>
      <c r="L4" s="581"/>
      <c r="M4" s="581"/>
      <c r="N4" s="581"/>
      <c r="O4" s="581"/>
      <c r="P4" s="581"/>
      <c r="Q4" s="581"/>
      <c r="R4" s="581"/>
      <c r="S4" s="581"/>
      <c r="T4" s="605" t="s">
        <v>222</v>
      </c>
      <c r="U4" s="604"/>
      <c r="V4" s="604"/>
      <c r="W4" s="604"/>
      <c r="X4" s="604"/>
      <c r="Y4" s="604"/>
      <c r="Z4" s="604"/>
      <c r="AA4" s="604"/>
      <c r="AB4" s="604"/>
      <c r="AC4" s="604"/>
      <c r="AD4" s="604"/>
      <c r="AE4" s="604"/>
      <c r="AF4" s="604"/>
      <c r="AG4" s="604"/>
      <c r="AH4" s="603"/>
      <c r="AI4" s="581" t="s">
        <v>221</v>
      </c>
      <c r="AJ4" s="581"/>
      <c r="AK4" s="581"/>
      <c r="AL4" s="581"/>
      <c r="AM4" s="581"/>
      <c r="AN4" s="581"/>
      <c r="AO4" s="581"/>
      <c r="AP4" s="581"/>
      <c r="AQ4" s="581"/>
      <c r="AR4" s="581"/>
      <c r="AS4" s="581" t="s">
        <v>220</v>
      </c>
      <c r="AT4" s="581"/>
      <c r="AU4" s="581"/>
      <c r="AV4" s="581" t="s">
        <v>219</v>
      </c>
      <c r="AW4" s="581"/>
      <c r="AX4" s="581"/>
      <c r="AY4" s="581" t="s">
        <v>218</v>
      </c>
      <c r="AZ4" s="581"/>
      <c r="BA4" s="581"/>
      <c r="BB4" s="581"/>
      <c r="BC4" s="581"/>
      <c r="BD4" s="581"/>
      <c r="BE4" s="581"/>
      <c r="BF4" s="581"/>
      <c r="BG4" s="581"/>
      <c r="BH4" s="581"/>
      <c r="BI4" s="581"/>
      <c r="BJ4" s="581"/>
      <c r="BK4" s="581"/>
      <c r="BL4" s="581"/>
      <c r="BM4" s="602" t="s">
        <v>217</v>
      </c>
      <c r="BN4" s="601"/>
      <c r="BO4" s="580" t="s">
        <v>216</v>
      </c>
      <c r="BP4" s="580"/>
      <c r="BQ4" s="580"/>
      <c r="BR4" s="580" t="s">
        <v>215</v>
      </c>
      <c r="BS4" s="580"/>
      <c r="BT4" s="580" t="s">
        <v>214</v>
      </c>
      <c r="BW4" s="39"/>
      <c r="BX4" s="38"/>
    </row>
    <row r="5" spans="1:76" ht="34.5" customHeight="1" x14ac:dyDescent="0.25">
      <c r="A5" s="592"/>
      <c r="B5" s="598"/>
      <c r="C5" s="598"/>
      <c r="D5" s="598"/>
      <c r="E5" s="590" t="s">
        <v>213</v>
      </c>
      <c r="F5" s="590"/>
      <c r="G5" s="590" t="s">
        <v>212</v>
      </c>
      <c r="H5" s="600" t="s">
        <v>211</v>
      </c>
      <c r="I5" s="581" t="s">
        <v>210</v>
      </c>
      <c r="J5" s="581"/>
      <c r="K5" s="581" t="s">
        <v>209</v>
      </c>
      <c r="L5" s="581" t="s">
        <v>208</v>
      </c>
      <c r="M5" s="581" t="s">
        <v>207</v>
      </c>
      <c r="N5" s="596" t="s">
        <v>206</v>
      </c>
      <c r="O5" s="596"/>
      <c r="P5" s="596"/>
      <c r="Q5" s="596"/>
      <c r="R5" s="599" t="s">
        <v>205</v>
      </c>
      <c r="S5" s="581" t="s">
        <v>204</v>
      </c>
      <c r="T5" s="581">
        <v>2014</v>
      </c>
      <c r="U5" s="581"/>
      <c r="V5" s="581"/>
      <c r="W5" s="581">
        <v>2015</v>
      </c>
      <c r="X5" s="581"/>
      <c r="Y5" s="581"/>
      <c r="Z5" s="581">
        <v>2016</v>
      </c>
      <c r="AA5" s="581"/>
      <c r="AB5" s="581"/>
      <c r="AC5" s="581">
        <v>2017</v>
      </c>
      <c r="AD5" s="581"/>
      <c r="AE5" s="581"/>
      <c r="AF5" s="581" t="s">
        <v>203</v>
      </c>
      <c r="AG5" s="581"/>
      <c r="AH5" s="581"/>
      <c r="AI5" s="581" t="s">
        <v>202</v>
      </c>
      <c r="AJ5" s="581"/>
      <c r="AK5" s="581"/>
      <c r="AL5" s="581" t="s">
        <v>201</v>
      </c>
      <c r="AM5" s="581"/>
      <c r="AN5" s="581"/>
      <c r="AO5" s="581" t="s">
        <v>200</v>
      </c>
      <c r="AP5" s="581"/>
      <c r="AQ5" s="581"/>
      <c r="AR5" s="581"/>
      <c r="AS5" s="581"/>
      <c r="AT5" s="581"/>
      <c r="AU5" s="581"/>
      <c r="AV5" s="581"/>
      <c r="AW5" s="581"/>
      <c r="AX5" s="581"/>
      <c r="AY5" s="581" t="s">
        <v>199</v>
      </c>
      <c r="AZ5" s="581" t="s">
        <v>198</v>
      </c>
      <c r="BA5" s="581" t="s">
        <v>197</v>
      </c>
      <c r="BB5" s="581" t="s">
        <v>196</v>
      </c>
      <c r="BC5" s="581" t="s">
        <v>195</v>
      </c>
      <c r="BD5" s="581" t="s">
        <v>194</v>
      </c>
      <c r="BE5" s="581" t="s">
        <v>193</v>
      </c>
      <c r="BF5" s="581" t="s">
        <v>192</v>
      </c>
      <c r="BG5" s="581" t="s">
        <v>191</v>
      </c>
      <c r="BH5" s="581" t="s">
        <v>190</v>
      </c>
      <c r="BI5" s="581" t="s">
        <v>189</v>
      </c>
      <c r="BJ5" s="581" t="s">
        <v>188</v>
      </c>
      <c r="BK5" s="581" t="s">
        <v>187</v>
      </c>
      <c r="BL5" s="581" t="s">
        <v>186</v>
      </c>
      <c r="BM5" s="581" t="s">
        <v>185</v>
      </c>
      <c r="BN5" s="581" t="s">
        <v>184</v>
      </c>
      <c r="BO5" s="581" t="s">
        <v>183</v>
      </c>
      <c r="BP5" s="581" t="s">
        <v>182</v>
      </c>
      <c r="BQ5" s="581" t="s">
        <v>181</v>
      </c>
      <c r="BR5" s="581" t="s">
        <v>180</v>
      </c>
      <c r="BS5" s="581" t="s">
        <v>179</v>
      </c>
      <c r="BT5" s="580"/>
      <c r="BW5" s="39"/>
      <c r="BX5" s="38"/>
    </row>
    <row r="6" spans="1:76" ht="58.5" customHeight="1" x14ac:dyDescent="0.25">
      <c r="A6" s="592"/>
      <c r="B6" s="598"/>
      <c r="C6" s="598"/>
      <c r="D6" s="598"/>
      <c r="E6" s="590"/>
      <c r="F6" s="590"/>
      <c r="G6" s="590"/>
      <c r="H6" s="597"/>
      <c r="I6" s="581"/>
      <c r="J6" s="581"/>
      <c r="K6" s="581"/>
      <c r="L6" s="581"/>
      <c r="M6" s="581"/>
      <c r="N6" s="596" t="s">
        <v>178</v>
      </c>
      <c r="O6" s="596"/>
      <c r="P6" s="596" t="s">
        <v>177</v>
      </c>
      <c r="Q6" s="596"/>
      <c r="R6" s="595"/>
      <c r="S6" s="581"/>
      <c r="T6" s="581" t="s">
        <v>172</v>
      </c>
      <c r="U6" s="581"/>
      <c r="V6" s="581" t="s">
        <v>171</v>
      </c>
      <c r="W6" s="581" t="s">
        <v>172</v>
      </c>
      <c r="X6" s="581"/>
      <c r="Y6" s="581" t="s">
        <v>171</v>
      </c>
      <c r="Z6" s="581" t="s">
        <v>172</v>
      </c>
      <c r="AA6" s="581"/>
      <c r="AB6" s="581" t="s">
        <v>171</v>
      </c>
      <c r="AC6" s="581" t="s">
        <v>172</v>
      </c>
      <c r="AD6" s="581"/>
      <c r="AE6" s="581" t="s">
        <v>171</v>
      </c>
      <c r="AF6" s="581" t="s">
        <v>172</v>
      </c>
      <c r="AG6" s="581"/>
      <c r="AH6" s="581" t="s">
        <v>171</v>
      </c>
      <c r="AI6" s="581" t="s">
        <v>172</v>
      </c>
      <c r="AJ6" s="581"/>
      <c r="AK6" s="581" t="s">
        <v>171</v>
      </c>
      <c r="AL6" s="581" t="s">
        <v>172</v>
      </c>
      <c r="AM6" s="581"/>
      <c r="AN6" s="581" t="s">
        <v>171</v>
      </c>
      <c r="AO6" s="594" t="s">
        <v>172</v>
      </c>
      <c r="AP6" s="594"/>
      <c r="AQ6" s="593" t="s">
        <v>171</v>
      </c>
      <c r="AR6" s="581" t="s">
        <v>176</v>
      </c>
      <c r="AS6" s="581" t="s">
        <v>175</v>
      </c>
      <c r="AT6" s="581" t="s">
        <v>174</v>
      </c>
      <c r="AU6" s="581" t="s">
        <v>173</v>
      </c>
      <c r="AV6" s="581" t="s">
        <v>172</v>
      </c>
      <c r="AW6" s="581"/>
      <c r="AX6" s="581" t="s">
        <v>171</v>
      </c>
      <c r="AY6" s="581"/>
      <c r="AZ6" s="581"/>
      <c r="BA6" s="581"/>
      <c r="BB6" s="581"/>
      <c r="BC6" s="581"/>
      <c r="BD6" s="581"/>
      <c r="BE6" s="581"/>
      <c r="BF6" s="581"/>
      <c r="BG6" s="581"/>
      <c r="BH6" s="581"/>
      <c r="BI6" s="581"/>
      <c r="BJ6" s="581"/>
      <c r="BK6" s="581"/>
      <c r="BL6" s="581"/>
      <c r="BM6" s="581"/>
      <c r="BN6" s="581"/>
      <c r="BO6" s="581"/>
      <c r="BP6" s="581"/>
      <c r="BQ6" s="581"/>
      <c r="BR6" s="581"/>
      <c r="BS6" s="581"/>
      <c r="BT6" s="580"/>
      <c r="BW6" s="39"/>
      <c r="BX6" s="38"/>
    </row>
    <row r="7" spans="1:76" ht="24" x14ac:dyDescent="0.25">
      <c r="A7" s="592"/>
      <c r="B7" s="591"/>
      <c r="C7" s="591"/>
      <c r="D7" s="591"/>
      <c r="E7" s="583" t="s">
        <v>170</v>
      </c>
      <c r="F7" s="583" t="s">
        <v>169</v>
      </c>
      <c r="G7" s="590"/>
      <c r="H7" s="589"/>
      <c r="I7" s="583" t="s">
        <v>170</v>
      </c>
      <c r="J7" s="583" t="s">
        <v>169</v>
      </c>
      <c r="K7" s="581"/>
      <c r="L7" s="581"/>
      <c r="M7" s="581"/>
      <c r="N7" s="588" t="s">
        <v>170</v>
      </c>
      <c r="O7" s="588" t="s">
        <v>169</v>
      </c>
      <c r="P7" s="588" t="s">
        <v>170</v>
      </c>
      <c r="Q7" s="588" t="s">
        <v>169</v>
      </c>
      <c r="R7" s="587"/>
      <c r="S7" s="581"/>
      <c r="T7" s="586" t="s">
        <v>170</v>
      </c>
      <c r="U7" s="586" t="s">
        <v>169</v>
      </c>
      <c r="V7" s="581"/>
      <c r="W7" s="586" t="s">
        <v>170</v>
      </c>
      <c r="X7" s="586" t="s">
        <v>169</v>
      </c>
      <c r="Y7" s="581"/>
      <c r="Z7" s="586" t="s">
        <v>170</v>
      </c>
      <c r="AA7" s="586" t="s">
        <v>169</v>
      </c>
      <c r="AB7" s="581"/>
      <c r="AC7" s="586" t="s">
        <v>170</v>
      </c>
      <c r="AD7" s="586" t="s">
        <v>169</v>
      </c>
      <c r="AE7" s="581"/>
      <c r="AF7" s="586" t="s">
        <v>170</v>
      </c>
      <c r="AG7" s="586" t="s">
        <v>169</v>
      </c>
      <c r="AH7" s="581"/>
      <c r="AI7" s="583" t="s">
        <v>170</v>
      </c>
      <c r="AJ7" s="583" t="s">
        <v>169</v>
      </c>
      <c r="AK7" s="581"/>
      <c r="AL7" s="583" t="s">
        <v>170</v>
      </c>
      <c r="AM7" s="583" t="s">
        <v>169</v>
      </c>
      <c r="AN7" s="581"/>
      <c r="AO7" s="585" t="s">
        <v>170</v>
      </c>
      <c r="AP7" s="585" t="s">
        <v>169</v>
      </c>
      <c r="AQ7" s="584"/>
      <c r="AR7" s="581"/>
      <c r="AS7" s="581"/>
      <c r="AT7" s="581"/>
      <c r="AU7" s="581"/>
      <c r="AV7" s="583" t="s">
        <v>170</v>
      </c>
      <c r="AW7" s="583" t="s">
        <v>169</v>
      </c>
      <c r="AX7" s="581"/>
      <c r="AY7" s="582" t="s">
        <v>168</v>
      </c>
      <c r="AZ7" s="582" t="s">
        <v>168</v>
      </c>
      <c r="BA7" s="582" t="s">
        <v>166</v>
      </c>
      <c r="BB7" s="582" t="s">
        <v>166</v>
      </c>
      <c r="BC7" s="582" t="s">
        <v>166</v>
      </c>
      <c r="BD7" s="582" t="s">
        <v>166</v>
      </c>
      <c r="BE7" s="582" t="s">
        <v>166</v>
      </c>
      <c r="BF7" s="582" t="s">
        <v>167</v>
      </c>
      <c r="BG7" s="582" t="s">
        <v>167</v>
      </c>
      <c r="BH7" s="582" t="s">
        <v>167</v>
      </c>
      <c r="BI7" s="582" t="s">
        <v>166</v>
      </c>
      <c r="BJ7" s="582" t="s">
        <v>166</v>
      </c>
      <c r="BK7" s="582" t="s">
        <v>166</v>
      </c>
      <c r="BL7" s="582" t="s">
        <v>165</v>
      </c>
      <c r="BM7" s="581"/>
      <c r="BN7" s="581"/>
      <c r="BO7" s="581"/>
      <c r="BP7" s="581"/>
      <c r="BQ7" s="581"/>
      <c r="BR7" s="581"/>
      <c r="BS7" s="581"/>
      <c r="BT7" s="580"/>
      <c r="BW7" s="39"/>
      <c r="BX7" s="38"/>
    </row>
    <row r="8" spans="1:76" x14ac:dyDescent="0.25">
      <c r="A8" s="52">
        <v>1</v>
      </c>
      <c r="B8" s="53">
        <v>2</v>
      </c>
      <c r="C8" s="53">
        <v>3</v>
      </c>
      <c r="D8" s="53">
        <v>4</v>
      </c>
      <c r="E8" s="577">
        <v>5</v>
      </c>
      <c r="F8" s="577">
        <v>6</v>
      </c>
      <c r="G8" s="52">
        <v>7</v>
      </c>
      <c r="H8" s="577">
        <v>8</v>
      </c>
      <c r="I8" s="577">
        <v>9</v>
      </c>
      <c r="J8" s="577">
        <v>10</v>
      </c>
      <c r="K8" s="54">
        <v>11</v>
      </c>
      <c r="L8" s="53">
        <v>12</v>
      </c>
      <c r="M8" s="52">
        <v>13</v>
      </c>
      <c r="N8" s="579">
        <v>14</v>
      </c>
      <c r="O8" s="579">
        <v>15</v>
      </c>
      <c r="P8" s="579">
        <v>16</v>
      </c>
      <c r="Q8" s="579">
        <v>17</v>
      </c>
      <c r="R8" s="578">
        <v>18</v>
      </c>
      <c r="S8" s="577">
        <v>19</v>
      </c>
      <c r="T8" s="577">
        <v>20</v>
      </c>
      <c r="U8" s="577">
        <v>21</v>
      </c>
      <c r="V8" s="577">
        <v>22</v>
      </c>
      <c r="W8" s="577">
        <v>23</v>
      </c>
      <c r="X8" s="577">
        <v>24</v>
      </c>
      <c r="Y8" s="577">
        <v>25</v>
      </c>
      <c r="Z8" s="577">
        <v>26</v>
      </c>
      <c r="AA8" s="577">
        <v>27</v>
      </c>
      <c r="AB8" s="577">
        <v>28</v>
      </c>
      <c r="AC8" s="577">
        <v>29</v>
      </c>
      <c r="AD8" s="577">
        <v>30</v>
      </c>
      <c r="AE8" s="577">
        <v>31</v>
      </c>
      <c r="AF8" s="577">
        <v>32</v>
      </c>
      <c r="AG8" s="577">
        <v>33</v>
      </c>
      <c r="AH8" s="577">
        <v>34</v>
      </c>
      <c r="AI8" s="577">
        <v>35</v>
      </c>
      <c r="AJ8" s="577">
        <v>36</v>
      </c>
      <c r="AK8" s="577">
        <v>37</v>
      </c>
      <c r="AL8" s="577">
        <v>40</v>
      </c>
      <c r="AM8" s="48">
        <v>41</v>
      </c>
      <c r="AN8" s="577">
        <v>42</v>
      </c>
      <c r="AO8" s="41">
        <v>43</v>
      </c>
      <c r="AP8" s="41">
        <v>44</v>
      </c>
      <c r="AQ8" s="41">
        <v>45</v>
      </c>
      <c r="AR8" s="52">
        <v>46</v>
      </c>
      <c r="AS8" s="52">
        <v>47</v>
      </c>
      <c r="AT8" s="52">
        <v>48</v>
      </c>
      <c r="AU8" s="52">
        <v>49</v>
      </c>
      <c r="AV8" s="577">
        <v>50</v>
      </c>
      <c r="AW8" s="577">
        <v>51</v>
      </c>
      <c r="AX8" s="577">
        <v>52</v>
      </c>
      <c r="AY8" s="577">
        <v>53</v>
      </c>
      <c r="AZ8" s="577">
        <v>54</v>
      </c>
      <c r="BA8" s="577">
        <v>55</v>
      </c>
      <c r="BB8" s="577">
        <v>56</v>
      </c>
      <c r="BC8" s="577">
        <v>57</v>
      </c>
      <c r="BD8" s="577">
        <v>58</v>
      </c>
      <c r="BE8" s="577">
        <v>59</v>
      </c>
      <c r="BF8" s="577">
        <v>60</v>
      </c>
      <c r="BG8" s="577">
        <v>61</v>
      </c>
      <c r="BH8" s="577">
        <v>62</v>
      </c>
      <c r="BI8" s="577">
        <v>63</v>
      </c>
      <c r="BJ8" s="577">
        <v>64</v>
      </c>
      <c r="BK8" s="577">
        <v>65</v>
      </c>
      <c r="BL8" s="577">
        <v>66</v>
      </c>
      <c r="BM8" s="52">
        <v>67</v>
      </c>
      <c r="BN8" s="52">
        <v>69</v>
      </c>
      <c r="BO8" s="52">
        <v>70</v>
      </c>
      <c r="BP8" s="52">
        <v>71</v>
      </c>
      <c r="BQ8" s="52">
        <v>72</v>
      </c>
      <c r="BR8" s="52">
        <v>73</v>
      </c>
      <c r="BS8" s="52">
        <v>74</v>
      </c>
      <c r="BT8" s="52">
        <v>75</v>
      </c>
      <c r="BW8" s="39"/>
      <c r="BX8" s="38"/>
    </row>
    <row r="9" spans="1:76" s="563" customFormat="1" x14ac:dyDescent="0.25">
      <c r="A9" s="576"/>
      <c r="B9" s="575" t="s">
        <v>164</v>
      </c>
      <c r="C9" s="571" t="s">
        <v>9</v>
      </c>
      <c r="D9" s="571" t="s">
        <v>8</v>
      </c>
      <c r="E9" s="430">
        <f>E13+E342</f>
        <v>73077415</v>
      </c>
      <c r="F9" s="430">
        <f>F13+F342</f>
        <v>81846658.24000001</v>
      </c>
      <c r="G9" s="567"/>
      <c r="H9" s="430"/>
      <c r="I9" s="430">
        <f>I13+I342</f>
        <v>35217310</v>
      </c>
      <c r="J9" s="430">
        <f>J13+J342</f>
        <v>39443340.640000008</v>
      </c>
      <c r="K9" s="570"/>
      <c r="L9" s="567"/>
      <c r="M9" s="567"/>
      <c r="N9" s="569">
        <f>N13+N342</f>
        <v>43608706362.908211</v>
      </c>
      <c r="O9" s="569">
        <f>O13+O342</f>
        <v>48808875599.449997</v>
      </c>
      <c r="P9" s="569">
        <f>P13+P342</f>
        <v>44782368605.948212</v>
      </c>
      <c r="Q9" s="569">
        <f>Q13+Q342</f>
        <v>49982537842.489998</v>
      </c>
      <c r="R9" s="567"/>
      <c r="S9" s="430"/>
      <c r="T9" s="430">
        <f>T13+T342</f>
        <v>2675583</v>
      </c>
      <c r="U9" s="430">
        <f>U13+U342</f>
        <v>2996652.9600000004</v>
      </c>
      <c r="V9" s="430"/>
      <c r="W9" s="430">
        <f>W13+W342</f>
        <v>2771629</v>
      </c>
      <c r="X9" s="430">
        <f>X13+X342</f>
        <v>3104224.4800000004</v>
      </c>
      <c r="Y9" s="430"/>
      <c r="Z9" s="430">
        <f>Z13+Z342</f>
        <v>17143</v>
      </c>
      <c r="AA9" s="430">
        <f>AA13+AA342</f>
        <v>19200.160000000003</v>
      </c>
      <c r="AB9" s="430"/>
      <c r="AC9" s="430">
        <f>AC13+AC342</f>
        <v>6917145</v>
      </c>
      <c r="AD9" s="430">
        <f>AD13+AD342</f>
        <v>7747202.4000000022</v>
      </c>
      <c r="AE9" s="430"/>
      <c r="AF9" s="430">
        <f>AF13+AF342</f>
        <v>12381500</v>
      </c>
      <c r="AG9" s="430">
        <f>AG13+AG342</f>
        <v>13867280.000000004</v>
      </c>
      <c r="AH9" s="430"/>
      <c r="AI9" s="430">
        <f>AI13+AI342</f>
        <v>35217310</v>
      </c>
      <c r="AJ9" s="430">
        <f>AJ13+AJ342</f>
        <v>39443340.640000008</v>
      </c>
      <c r="AK9" s="430"/>
      <c r="AL9" s="430">
        <f>AL13+AL342</f>
        <v>17051841</v>
      </c>
      <c r="AM9" s="430">
        <f>AM13+AM342</f>
        <v>19098016.200000003</v>
      </c>
      <c r="AN9" s="430"/>
      <c r="AO9" s="430">
        <f>AO13+AO342</f>
        <v>-18165469</v>
      </c>
      <c r="AP9" s="430">
        <f>AP13+AP342</f>
        <v>-20345325.280000001</v>
      </c>
      <c r="AQ9" s="430"/>
      <c r="AR9" s="574">
        <f>IF(AI9=0,"",AL9/AI9)</f>
        <v>0.48418919559727874</v>
      </c>
      <c r="AS9" s="567">
        <f>AS13+AS342</f>
        <v>0</v>
      </c>
      <c r="AT9" s="567">
        <f>AT13+AT342</f>
        <v>0</v>
      </c>
      <c r="AU9" s="567">
        <f>AU13+AU342</f>
        <v>0</v>
      </c>
      <c r="AV9" s="430">
        <f>AV13+AV342</f>
        <v>174547174.15549934</v>
      </c>
      <c r="AW9" s="430">
        <f>AW13+AW342</f>
        <v>195471878.61415932</v>
      </c>
      <c r="AX9" s="430"/>
      <c r="AY9" s="430">
        <f>AY13+AY342</f>
        <v>0</v>
      </c>
      <c r="AZ9" s="430">
        <f>AZ13+AZ342</f>
        <v>-5951616.0000000019</v>
      </c>
      <c r="BA9" s="430">
        <f>BA13+BA342</f>
        <v>0</v>
      </c>
      <c r="BB9" s="430">
        <f>BB13+BB342</f>
        <v>0</v>
      </c>
      <c r="BC9" s="430">
        <f>BC13+BC342</f>
        <v>-12169037</v>
      </c>
      <c r="BD9" s="430">
        <f>BD13+BD342</f>
        <v>0</v>
      </c>
      <c r="BE9" s="430">
        <f>BE13+BE342</f>
        <v>0</v>
      </c>
      <c r="BF9" s="430">
        <f>BF13+BF342</f>
        <v>0</v>
      </c>
      <c r="BG9" s="430">
        <f>BG13+BG342</f>
        <v>0</v>
      </c>
      <c r="BH9" s="430">
        <f>BH13+BH342</f>
        <v>0</v>
      </c>
      <c r="BI9" s="430">
        <f>BI13+BI342</f>
        <v>0</v>
      </c>
      <c r="BJ9" s="430">
        <f>BJ13+BJ342</f>
        <v>0</v>
      </c>
      <c r="BK9" s="430">
        <f>BK13+BK342</f>
        <v>0</v>
      </c>
      <c r="BL9" s="430">
        <f>BL13+BL342</f>
        <v>-44816</v>
      </c>
      <c r="BM9" s="567"/>
      <c r="BN9" s="567">
        <f>BN13+BN342</f>
        <v>0</v>
      </c>
      <c r="BO9" s="430">
        <f>BO13+BO342</f>
        <v>0</v>
      </c>
      <c r="BP9" s="430">
        <f>BP13+BP342</f>
        <v>0</v>
      </c>
      <c r="BQ9" s="430">
        <f>BQ13+BQ342</f>
        <v>0</v>
      </c>
      <c r="BR9" s="566"/>
      <c r="BS9" s="566"/>
      <c r="BT9" s="566"/>
      <c r="BW9" s="573">
        <f>SUM(AY9:BL9)</f>
        <v>-18165469</v>
      </c>
      <c r="BX9" s="572">
        <f>AO9-BW9</f>
        <v>0</v>
      </c>
    </row>
    <row r="10" spans="1:76" s="563" customFormat="1" x14ac:dyDescent="0.25">
      <c r="A10" s="562"/>
      <c r="B10" s="561"/>
      <c r="C10" s="571" t="s">
        <v>6</v>
      </c>
      <c r="D10" s="571" t="s">
        <v>26</v>
      </c>
      <c r="E10" s="430">
        <f>SUM(E11:E12)</f>
        <v>67863300</v>
      </c>
      <c r="F10" s="430">
        <f>SUM(F11:F12)</f>
        <v>76006849.440000013</v>
      </c>
      <c r="G10" s="567"/>
      <c r="H10" s="430"/>
      <c r="I10" s="430">
        <f>SUM(I11:I12)</f>
        <v>21653071</v>
      </c>
      <c r="J10" s="430">
        <f>SUM(J11:J12)</f>
        <v>24251392.960000001</v>
      </c>
      <c r="K10" s="570"/>
      <c r="L10" s="567"/>
      <c r="M10" s="567"/>
      <c r="N10" s="569">
        <f>SUM(N11:N12)</f>
        <v>43608706362.908211</v>
      </c>
      <c r="O10" s="569">
        <f>SUM(O11:O12)</f>
        <v>48808875599.449997</v>
      </c>
      <c r="P10" s="569">
        <f>SUM(P11:P12)</f>
        <v>44782368605.948212</v>
      </c>
      <c r="Q10" s="569">
        <f>SUM(Q11:Q12)</f>
        <v>49982537842.489998</v>
      </c>
      <c r="R10" s="567"/>
      <c r="S10" s="430"/>
      <c r="T10" s="430">
        <f>SUM(T11:T12)</f>
        <v>3958933.9285714282</v>
      </c>
      <c r="U10" s="430">
        <f>SUM(U11:U12)</f>
        <v>4434006</v>
      </c>
      <c r="V10" s="430"/>
      <c r="W10" s="430">
        <f>SUM(W11:W12)</f>
        <v>2900534.6294642854</v>
      </c>
      <c r="X10" s="430">
        <f>SUM(X11:X12)</f>
        <v>3248598.7850000001</v>
      </c>
      <c r="Y10" s="430"/>
      <c r="Z10" s="430">
        <f>SUM(Z11:Z12)</f>
        <v>0</v>
      </c>
      <c r="AA10" s="430">
        <f>SUM(AA11:AA12)</f>
        <v>0</v>
      </c>
      <c r="AB10" s="430"/>
      <c r="AC10" s="430">
        <f>SUM(AC11:AC12)</f>
        <v>10449502.221644284</v>
      </c>
      <c r="AD10" s="430">
        <f>SUM(AD11:AD12)</f>
        <v>11703745.116009999</v>
      </c>
      <c r="AE10" s="430"/>
      <c r="AF10" s="430">
        <f>SUM(AF11:AF12)</f>
        <v>17308970.779679999</v>
      </c>
      <c r="AG10" s="430">
        <f>SUM(AG11:AG12)</f>
        <v>19386349.901009999</v>
      </c>
      <c r="AH10" s="430"/>
      <c r="AI10" s="430">
        <f>SUM(AI11:AI12)</f>
        <v>21653070.836241074</v>
      </c>
      <c r="AJ10" s="430">
        <f>SUM(AJ11:AJ12)</f>
        <v>24251392.776590001</v>
      </c>
      <c r="AK10" s="430"/>
      <c r="AL10" s="430">
        <f>SUM(AL11:AL12)</f>
        <v>14887489.522589643</v>
      </c>
      <c r="AM10" s="430">
        <f>SUM(AM11:AM12)</f>
        <v>16495285.402940001</v>
      </c>
      <c r="AN10" s="430"/>
      <c r="AO10" s="430">
        <f>SUM(AO11:AO12)</f>
        <v>-6765581.3136514286</v>
      </c>
      <c r="AP10" s="430">
        <f>SUM(AP11:AP12)</f>
        <v>-7756108.2136500012</v>
      </c>
      <c r="AQ10" s="430"/>
      <c r="AR10" s="568">
        <f>IF(AI10=0,"",AL10/AI10)</f>
        <v>0.68754633627634121</v>
      </c>
      <c r="AS10" s="567">
        <f>SUM(AS11:AS12)</f>
        <v>1888120.9743550001</v>
      </c>
      <c r="AT10" s="567">
        <f>SUM(AT11:AT12)</f>
        <v>9236220.5086421426</v>
      </c>
      <c r="AU10" s="567">
        <f>SUM(AU11:AU12)</f>
        <v>3763148.0395924994</v>
      </c>
      <c r="AV10" s="430">
        <f>SUM(AV11:AV12)</f>
        <v>213002488.08956185</v>
      </c>
      <c r="AW10" s="430">
        <f>SUM(AW11:AW12)</f>
        <v>238562740.42430928</v>
      </c>
      <c r="AX10" s="430"/>
      <c r="AY10" s="430">
        <f>SUM(AY11:AY12)</f>
        <v>0</v>
      </c>
      <c r="AZ10" s="430">
        <f>SUM(AZ11:AZ12)</f>
        <v>0</v>
      </c>
      <c r="BA10" s="430">
        <f>SUM(BA11:BA12)</f>
        <v>0</v>
      </c>
      <c r="BB10" s="430">
        <f>SUM(BB11:BB12)</f>
        <v>0</v>
      </c>
      <c r="BC10" s="430">
        <f>SUM(BC11:BC12)</f>
        <v>0</v>
      </c>
      <c r="BD10" s="430">
        <f>SUM(BD11:BD12)</f>
        <v>0</v>
      </c>
      <c r="BE10" s="430">
        <f>SUM(BE11:BE12)</f>
        <v>0</v>
      </c>
      <c r="BF10" s="430">
        <f>SUM(BF11:BF12)</f>
        <v>0</v>
      </c>
      <c r="BG10" s="430">
        <f>SUM(BG11:BG12)</f>
        <v>0</v>
      </c>
      <c r="BH10" s="430">
        <f>SUM(BH11:BH12)</f>
        <v>0</v>
      </c>
      <c r="BI10" s="430">
        <f>SUM(BI11:BI12)</f>
        <v>0</v>
      </c>
      <c r="BJ10" s="430">
        <f>SUM(BJ11:BJ12)</f>
        <v>0</v>
      </c>
      <c r="BK10" s="430">
        <f>SUM(BK11:BK12)</f>
        <v>0</v>
      </c>
      <c r="BL10" s="430">
        <f>SUM(BL11:BL12)</f>
        <v>0</v>
      </c>
      <c r="BM10" s="567"/>
      <c r="BN10" s="567">
        <f>SUM(BN11:BN12)</f>
        <v>0</v>
      </c>
      <c r="BO10" s="430">
        <f>SUM(BO11:BO12)</f>
        <v>12344.72027</v>
      </c>
      <c r="BP10" s="430">
        <f>SUM(BP11:BP12)</f>
        <v>5850306.83629</v>
      </c>
      <c r="BQ10" s="430">
        <f>SUM(BQ11:BQ12)</f>
        <v>38.474249999999998</v>
      </c>
      <c r="BR10" s="566"/>
      <c r="BS10" s="566"/>
      <c r="BT10" s="566"/>
      <c r="BW10" s="565"/>
      <c r="BX10" s="564"/>
    </row>
    <row r="11" spans="1:76" s="547" customFormat="1" x14ac:dyDescent="0.25">
      <c r="A11" s="562"/>
      <c r="B11" s="561"/>
      <c r="C11" s="560" t="s">
        <v>6</v>
      </c>
      <c r="D11" s="556" t="s">
        <v>5</v>
      </c>
      <c r="E11" s="551">
        <f>E15+E344</f>
        <v>54401730</v>
      </c>
      <c r="F11" s="551">
        <f>F15+F344</f>
        <v>60929891.040000007</v>
      </c>
      <c r="G11" s="552"/>
      <c r="H11" s="551"/>
      <c r="I11" s="551">
        <f>I15+I344</f>
        <v>18590571</v>
      </c>
      <c r="J11" s="551">
        <f>J15+J344</f>
        <v>20821392.960000001</v>
      </c>
      <c r="K11" s="555"/>
      <c r="L11" s="552"/>
      <c r="M11" s="552"/>
      <c r="N11" s="554">
        <f>N15+N344</f>
        <v>30147136782.551067</v>
      </c>
      <c r="O11" s="554">
        <f>O15+O344</f>
        <v>33731917669.449997</v>
      </c>
      <c r="P11" s="554">
        <f>P15+P344</f>
        <v>31320799025.591068</v>
      </c>
      <c r="Q11" s="554">
        <f>Q15+Q344</f>
        <v>34905579912.489998</v>
      </c>
      <c r="R11" s="552"/>
      <c r="S11" s="551"/>
      <c r="T11" s="551">
        <f>T15+T344</f>
        <v>3958933.9285714282</v>
      </c>
      <c r="U11" s="551">
        <f>U15+U344</f>
        <v>4434006</v>
      </c>
      <c r="V11" s="551"/>
      <c r="W11" s="551">
        <f>W15+W344</f>
        <v>2900534.6294642854</v>
      </c>
      <c r="X11" s="551">
        <f>X15+X344</f>
        <v>3248598.7850000001</v>
      </c>
      <c r="Y11" s="551"/>
      <c r="Z11" s="551">
        <f>Z15+Z344</f>
        <v>0</v>
      </c>
      <c r="AA11" s="551">
        <f>AA15+AA344</f>
        <v>0</v>
      </c>
      <c r="AB11" s="551"/>
      <c r="AC11" s="551">
        <f>AC15+AC344</f>
        <v>3113825.4984299992</v>
      </c>
      <c r="AD11" s="551">
        <f>AD15+AD344</f>
        <v>3487787.1860100003</v>
      </c>
      <c r="AE11" s="551"/>
      <c r="AF11" s="551">
        <f>AF15+AF344</f>
        <v>9973294.0564657133</v>
      </c>
      <c r="AG11" s="551">
        <f>AG15+AG344</f>
        <v>11170391.971010001</v>
      </c>
      <c r="AH11" s="551"/>
      <c r="AI11" s="551">
        <f>AI15+AI344</f>
        <v>18590570.836241074</v>
      </c>
      <c r="AJ11" s="551">
        <f>AJ15+AJ344</f>
        <v>20821392.776590001</v>
      </c>
      <c r="AK11" s="551"/>
      <c r="AL11" s="551">
        <f>AL15+AL344</f>
        <v>11824989.522589643</v>
      </c>
      <c r="AM11" s="551">
        <f>AM15+AM344</f>
        <v>13065285.402940001</v>
      </c>
      <c r="AN11" s="551"/>
      <c r="AO11" s="551">
        <f>AO15+AO344</f>
        <v>-6765581.3136514286</v>
      </c>
      <c r="AP11" s="551">
        <f>AP15+AP344</f>
        <v>-7756108.2136500012</v>
      </c>
      <c r="AQ11" s="551"/>
      <c r="AR11" s="553">
        <f>IF(AI11=0,"",AL11/AI11)</f>
        <v>0.63607457924517397</v>
      </c>
      <c r="AS11" s="552">
        <f>AS15+AS344</f>
        <v>1391923.652955357</v>
      </c>
      <c r="AT11" s="552">
        <f>AT15+AT344</f>
        <v>7839516.9372949991</v>
      </c>
      <c r="AU11" s="552">
        <f>AU15+AU344</f>
        <v>2593548.932339286</v>
      </c>
      <c r="AV11" s="551">
        <f>AV15+AV344</f>
        <v>209939988.08956185</v>
      </c>
      <c r="AW11" s="551">
        <f>AW15+AW344</f>
        <v>235132740.42430928</v>
      </c>
      <c r="AX11" s="551"/>
      <c r="AY11" s="551">
        <f>AY15+AY344</f>
        <v>0</v>
      </c>
      <c r="AZ11" s="551">
        <f>AZ15+AZ344</f>
        <v>0</v>
      </c>
      <c r="BA11" s="551">
        <f>BA15+BA344</f>
        <v>0</v>
      </c>
      <c r="BB11" s="551">
        <f>BB15+BB344</f>
        <v>0</v>
      </c>
      <c r="BC11" s="551">
        <f>BC15+BC344</f>
        <v>0</v>
      </c>
      <c r="BD11" s="551">
        <f>BD15+BD344</f>
        <v>0</v>
      </c>
      <c r="BE11" s="551">
        <f>BE15+BE344</f>
        <v>0</v>
      </c>
      <c r="BF11" s="551">
        <f>BF15+BF344</f>
        <v>0</v>
      </c>
      <c r="BG11" s="551">
        <f>BG15+BG344</f>
        <v>0</v>
      </c>
      <c r="BH11" s="551">
        <f>BH15+BH344</f>
        <v>0</v>
      </c>
      <c r="BI11" s="551">
        <f>BI15+BI344</f>
        <v>0</v>
      </c>
      <c r="BJ11" s="551">
        <f>BJ15+BJ344</f>
        <v>0</v>
      </c>
      <c r="BK11" s="551">
        <f>BK15+BK344</f>
        <v>0</v>
      </c>
      <c r="BL11" s="551">
        <f>BL15+BL344</f>
        <v>0</v>
      </c>
      <c r="BM11" s="552"/>
      <c r="BN11" s="552">
        <f>BN15+BN344</f>
        <v>0</v>
      </c>
      <c r="BO11" s="551">
        <f>BO15+BO344</f>
        <v>12344.72027</v>
      </c>
      <c r="BP11" s="551">
        <f>BP15+BP344</f>
        <v>5850306.83629</v>
      </c>
      <c r="BQ11" s="551">
        <f>BQ15+BQ344</f>
        <v>38.474249999999998</v>
      </c>
      <c r="BR11" s="550"/>
      <c r="BS11" s="550"/>
      <c r="BT11" s="550"/>
      <c r="BW11" s="549"/>
      <c r="BX11" s="548"/>
    </row>
    <row r="12" spans="1:76" s="547" customFormat="1" x14ac:dyDescent="0.25">
      <c r="A12" s="559"/>
      <c r="B12" s="558"/>
      <c r="C12" s="557"/>
      <c r="D12" s="556" t="s">
        <v>115</v>
      </c>
      <c r="E12" s="551">
        <f>E16</f>
        <v>13461570</v>
      </c>
      <c r="F12" s="551">
        <f>F16</f>
        <v>15076958.400000002</v>
      </c>
      <c r="G12" s="552"/>
      <c r="H12" s="551"/>
      <c r="I12" s="551">
        <f>I16</f>
        <v>3062500</v>
      </c>
      <c r="J12" s="551">
        <f>J16</f>
        <v>3430000.0000000005</v>
      </c>
      <c r="K12" s="555"/>
      <c r="L12" s="552"/>
      <c r="M12" s="552"/>
      <c r="N12" s="554">
        <f>N16</f>
        <v>13461569580.357141</v>
      </c>
      <c r="O12" s="554">
        <f>O16</f>
        <v>15076957930</v>
      </c>
      <c r="P12" s="554">
        <f>P16</f>
        <v>13461569580.357141</v>
      </c>
      <c r="Q12" s="554">
        <f>Q16</f>
        <v>15076957930</v>
      </c>
      <c r="R12" s="552"/>
      <c r="S12" s="551"/>
      <c r="T12" s="551">
        <f>T16</f>
        <v>0</v>
      </c>
      <c r="U12" s="551">
        <f>U16</f>
        <v>0</v>
      </c>
      <c r="V12" s="551"/>
      <c r="W12" s="551">
        <f>W16</f>
        <v>0</v>
      </c>
      <c r="X12" s="551">
        <f>X16</f>
        <v>0</v>
      </c>
      <c r="Y12" s="551"/>
      <c r="Z12" s="551">
        <f>Z16</f>
        <v>0</v>
      </c>
      <c r="AA12" s="551">
        <f>AA16</f>
        <v>0</v>
      </c>
      <c r="AB12" s="551"/>
      <c r="AC12" s="551">
        <f>AC16</f>
        <v>7335676.7232142845</v>
      </c>
      <c r="AD12" s="551">
        <f>AD16</f>
        <v>8215957.9299999997</v>
      </c>
      <c r="AE12" s="551"/>
      <c r="AF12" s="551">
        <f>AF16</f>
        <v>7335676.7232142845</v>
      </c>
      <c r="AG12" s="551">
        <f>AG16</f>
        <v>8215957.9299999997</v>
      </c>
      <c r="AH12" s="551"/>
      <c r="AI12" s="551">
        <f>AI16</f>
        <v>3062500</v>
      </c>
      <c r="AJ12" s="551">
        <f>AJ16</f>
        <v>3430000.0000000005</v>
      </c>
      <c r="AK12" s="551"/>
      <c r="AL12" s="551">
        <f>AL16</f>
        <v>3062499.9999999995</v>
      </c>
      <c r="AM12" s="551">
        <f>AM16</f>
        <v>3430000</v>
      </c>
      <c r="AN12" s="551"/>
      <c r="AO12" s="551">
        <f>AO16</f>
        <v>0</v>
      </c>
      <c r="AP12" s="551">
        <f>AP16</f>
        <v>0</v>
      </c>
      <c r="AQ12" s="551"/>
      <c r="AR12" s="553">
        <f>IF(AI12=0,"",AL12/AI12)</f>
        <v>0.99999999999999989</v>
      </c>
      <c r="AS12" s="552">
        <f>AS16</f>
        <v>496197.32139964297</v>
      </c>
      <c r="AT12" s="552">
        <f>AT16</f>
        <v>1396703.571347143</v>
      </c>
      <c r="AU12" s="552">
        <f>AU16</f>
        <v>1169599.1072532134</v>
      </c>
      <c r="AV12" s="551">
        <f>AV16</f>
        <v>3062500</v>
      </c>
      <c r="AW12" s="551">
        <f>AW16</f>
        <v>3430000.0000000005</v>
      </c>
      <c r="AX12" s="551"/>
      <c r="AY12" s="551">
        <f>AY16</f>
        <v>0</v>
      </c>
      <c r="AZ12" s="551">
        <f>AZ16</f>
        <v>0</v>
      </c>
      <c r="BA12" s="551">
        <f>BA16</f>
        <v>0</v>
      </c>
      <c r="BB12" s="551">
        <f>BB16</f>
        <v>0</v>
      </c>
      <c r="BC12" s="551">
        <f>BC16</f>
        <v>0</v>
      </c>
      <c r="BD12" s="551">
        <f>BD16</f>
        <v>0</v>
      </c>
      <c r="BE12" s="551">
        <f>BE16</f>
        <v>0</v>
      </c>
      <c r="BF12" s="551">
        <f>BF16</f>
        <v>0</v>
      </c>
      <c r="BG12" s="551">
        <f>BG16</f>
        <v>0</v>
      </c>
      <c r="BH12" s="551">
        <f>BH16</f>
        <v>0</v>
      </c>
      <c r="BI12" s="551">
        <f>BI16</f>
        <v>0</v>
      </c>
      <c r="BJ12" s="551">
        <f>BJ16</f>
        <v>0</v>
      </c>
      <c r="BK12" s="551">
        <f>BK16</f>
        <v>0</v>
      </c>
      <c r="BL12" s="551">
        <f>BL16</f>
        <v>0</v>
      </c>
      <c r="BM12" s="552"/>
      <c r="BN12" s="552">
        <f>BN16</f>
        <v>0</v>
      </c>
      <c r="BO12" s="551">
        <f>BO16</f>
        <v>0</v>
      </c>
      <c r="BP12" s="551">
        <f>BP16</f>
        <v>0</v>
      </c>
      <c r="BQ12" s="551">
        <f>BQ16</f>
        <v>0</v>
      </c>
      <c r="BR12" s="550"/>
      <c r="BS12" s="550"/>
      <c r="BT12" s="550"/>
      <c r="BW12" s="549"/>
      <c r="BX12" s="548"/>
    </row>
    <row r="13" spans="1:76" s="533" customFormat="1" x14ac:dyDescent="0.25">
      <c r="A13" s="546"/>
      <c r="B13" s="545" t="s">
        <v>163</v>
      </c>
      <c r="C13" s="542" t="s">
        <v>9</v>
      </c>
      <c r="D13" s="542" t="s">
        <v>8</v>
      </c>
      <c r="E13" s="537">
        <f>E17+E103+E119+E24</f>
        <v>72875541</v>
      </c>
      <c r="F13" s="537">
        <f>F17+F103+F119+F24</f>
        <v>81620559.360000014</v>
      </c>
      <c r="G13" s="538"/>
      <c r="H13" s="537"/>
      <c r="I13" s="537">
        <f>I17+I103+I119+I24</f>
        <v>35152221</v>
      </c>
      <c r="J13" s="537">
        <f>J17+J103+J119+J24</f>
        <v>39370440.960000008</v>
      </c>
      <c r="K13" s="541"/>
      <c r="L13" s="538"/>
      <c r="M13" s="538"/>
      <c r="N13" s="540">
        <f>N17+N103+N119+N24</f>
        <v>43406831505.76535</v>
      </c>
      <c r="O13" s="540">
        <f>O17+O103+O119+O24</f>
        <v>48582775759.449997</v>
      </c>
      <c r="P13" s="540">
        <f>P17+P103+P119+P24</f>
        <v>44580493748.805351</v>
      </c>
      <c r="Q13" s="540">
        <f>Q17+Q103+Q119+Q24</f>
        <v>49756438002.489998</v>
      </c>
      <c r="R13" s="538"/>
      <c r="S13" s="537"/>
      <c r="T13" s="537">
        <f>T17+T103+T119+T24</f>
        <v>2675583</v>
      </c>
      <c r="U13" s="537">
        <f>U17+U103+U119+U24</f>
        <v>2996652.9600000004</v>
      </c>
      <c r="V13" s="537"/>
      <c r="W13" s="537">
        <f>W17+W103+W119+W24</f>
        <v>2771629</v>
      </c>
      <c r="X13" s="537">
        <f>X17+X103+X119+X24</f>
        <v>3104224.4800000004</v>
      </c>
      <c r="Y13" s="537"/>
      <c r="Z13" s="537">
        <f>Z17+Z103+Z119+Z24</f>
        <v>0</v>
      </c>
      <c r="AA13" s="537">
        <f>AA17+AA103+AA119+AA24</f>
        <v>0</v>
      </c>
      <c r="AB13" s="537"/>
      <c r="AC13" s="537">
        <f>AC17+AC103+AC119+AC24</f>
        <v>6797503</v>
      </c>
      <c r="AD13" s="537">
        <f>AD17+AD103+AD119+AD24</f>
        <v>7613203.3600000022</v>
      </c>
      <c r="AE13" s="537"/>
      <c r="AF13" s="537">
        <f>AF17+AF103+AF119+AF24</f>
        <v>12244715</v>
      </c>
      <c r="AG13" s="537">
        <f>AG17+AG103+AG119+AG24</f>
        <v>13714080.800000004</v>
      </c>
      <c r="AH13" s="537"/>
      <c r="AI13" s="537">
        <f>AI17+AI103+AI119+AI24</f>
        <v>35152221</v>
      </c>
      <c r="AJ13" s="537">
        <f>AJ17+AJ103+AJ119+AJ24</f>
        <v>39370440.960000008</v>
      </c>
      <c r="AK13" s="537"/>
      <c r="AL13" s="537">
        <f>AL17+AL103+AL119+AL24</f>
        <v>17051841</v>
      </c>
      <c r="AM13" s="537">
        <f>AM17+AM103+AM119+AM24</f>
        <v>19098016.200000003</v>
      </c>
      <c r="AN13" s="537"/>
      <c r="AO13" s="537">
        <f>AO17+AO103+AO119+AO24</f>
        <v>-18100380</v>
      </c>
      <c r="AP13" s="537">
        <f>AP17+AP103+AP119+AP24</f>
        <v>-20272425.600000001</v>
      </c>
      <c r="AQ13" s="537"/>
      <c r="AR13" s="539">
        <f>IF(AI13=0,"",AL13/AI13)</f>
        <v>0.4850857361189212</v>
      </c>
      <c r="AS13" s="538">
        <f>AS17+AS103+AS119+AS24</f>
        <v>0</v>
      </c>
      <c r="AT13" s="538">
        <f>AT17+AT103+AT119+AT24</f>
        <v>0</v>
      </c>
      <c r="AU13" s="538">
        <f>AU17+AU103+AU119+AU24</f>
        <v>0</v>
      </c>
      <c r="AV13" s="537">
        <f>AV17+AV103+AV119+AV24</f>
        <v>42358066.584070794</v>
      </c>
      <c r="AW13" s="537">
        <f>AW17+AW103+AW119+AW24</f>
        <v>47420078.134159297</v>
      </c>
      <c r="AX13" s="537"/>
      <c r="AY13" s="537">
        <f>AY17+AY103+AY119+AY24</f>
        <v>0</v>
      </c>
      <c r="AZ13" s="537">
        <f>AZ17+AZ103+AZ119+AZ24</f>
        <v>-5951616.0000000019</v>
      </c>
      <c r="BA13" s="537">
        <f>BA17+BA103+BA119+BA24</f>
        <v>0</v>
      </c>
      <c r="BB13" s="537">
        <f>BB17+BB103+BB119+BB24</f>
        <v>0</v>
      </c>
      <c r="BC13" s="537">
        <f>BC17+BC103+BC119+BC24</f>
        <v>-12169037</v>
      </c>
      <c r="BD13" s="537">
        <f>BD17+BD103+BD119+BD24</f>
        <v>0</v>
      </c>
      <c r="BE13" s="537">
        <f>BE17+BE103+BE119+BE24</f>
        <v>0</v>
      </c>
      <c r="BF13" s="537">
        <f>BF17+BF103+BF119+BF24</f>
        <v>0</v>
      </c>
      <c r="BG13" s="537">
        <f>BG17+BG103+BG119+BG24</f>
        <v>0</v>
      </c>
      <c r="BH13" s="537">
        <f>BH17+BH103+BH119+BH24</f>
        <v>0</v>
      </c>
      <c r="BI13" s="537">
        <f>BI17+BI103+BI119+BI24</f>
        <v>0</v>
      </c>
      <c r="BJ13" s="537">
        <f>BJ17+BJ103+BJ119+BJ24</f>
        <v>0</v>
      </c>
      <c r="BK13" s="537">
        <f>BK17+BK103+BK119+BK24</f>
        <v>0</v>
      </c>
      <c r="BL13" s="537">
        <f>BL17+BL103+BL119+BL24</f>
        <v>20273</v>
      </c>
      <c r="BM13" s="538"/>
      <c r="BN13" s="538">
        <f>BN17+BN103+BN119</f>
        <v>0</v>
      </c>
      <c r="BO13" s="537">
        <f>BO17+BO103+BO119+BO24</f>
        <v>0</v>
      </c>
      <c r="BP13" s="537">
        <f>BP17+BP103+BP119+BP24</f>
        <v>0</v>
      </c>
      <c r="BQ13" s="537">
        <f>BQ17+BQ103+BQ119+BQ24</f>
        <v>0</v>
      </c>
      <c r="BR13" s="536"/>
      <c r="BS13" s="536"/>
      <c r="BT13" s="536"/>
      <c r="BW13" s="544">
        <f>SUM(AY13:BL13)</f>
        <v>-18100380</v>
      </c>
      <c r="BX13" s="543">
        <f>AO13-BW13</f>
        <v>0</v>
      </c>
    </row>
    <row r="14" spans="1:76" s="533" customFormat="1" x14ac:dyDescent="0.25">
      <c r="A14" s="532"/>
      <c r="B14" s="531"/>
      <c r="C14" s="542" t="s">
        <v>6</v>
      </c>
      <c r="D14" s="542" t="s">
        <v>26</v>
      </c>
      <c r="E14" s="537">
        <f>SUM(E15:E16)</f>
        <v>67675890</v>
      </c>
      <c r="F14" s="537">
        <f>SUM(F15:F16)</f>
        <v>75796950.24000001</v>
      </c>
      <c r="G14" s="538"/>
      <c r="H14" s="537"/>
      <c r="I14" s="537">
        <f>SUM(I15:I16)</f>
        <v>21650392</v>
      </c>
      <c r="J14" s="537">
        <f>SUM(J15:J16)</f>
        <v>24248392.48</v>
      </c>
      <c r="K14" s="541"/>
      <c r="L14" s="538"/>
      <c r="M14" s="538"/>
      <c r="N14" s="540">
        <f>SUM(N15:N16)</f>
        <v>43406831505.76535</v>
      </c>
      <c r="O14" s="540">
        <f>SUM(O15:O16)</f>
        <v>48582775759.449997</v>
      </c>
      <c r="P14" s="540">
        <f>SUM(P15:P16)</f>
        <v>44580493748.805351</v>
      </c>
      <c r="Q14" s="540">
        <f>SUM(Q15:Q16)</f>
        <v>49756438002.489998</v>
      </c>
      <c r="R14" s="538"/>
      <c r="S14" s="537"/>
      <c r="T14" s="537">
        <f>SUM(T15:T16)</f>
        <v>3958933.9285714282</v>
      </c>
      <c r="U14" s="537">
        <f>SUM(U15:U16)</f>
        <v>4434006</v>
      </c>
      <c r="V14" s="537"/>
      <c r="W14" s="537">
        <f>SUM(W15:W16)</f>
        <v>2900534.6294642854</v>
      </c>
      <c r="X14" s="537">
        <f>SUM(X15:X16)</f>
        <v>3248598.7850000001</v>
      </c>
      <c r="Y14" s="537"/>
      <c r="Z14" s="537">
        <f>SUM(Z15:Z16)</f>
        <v>0</v>
      </c>
      <c r="AA14" s="537">
        <f>SUM(AA15:AA16)</f>
        <v>0</v>
      </c>
      <c r="AB14" s="537"/>
      <c r="AC14" s="537">
        <f>SUM(AC15:AC16)</f>
        <v>10264771.221644284</v>
      </c>
      <c r="AD14" s="537">
        <f>SUM(AD15:AD16)</f>
        <v>11496846.39601</v>
      </c>
      <c r="AE14" s="537"/>
      <c r="AF14" s="537">
        <f>SUM(AF15:AF16)</f>
        <v>17124239.779679999</v>
      </c>
      <c r="AG14" s="537">
        <f>SUM(AG15:AG16)</f>
        <v>19179451.18101</v>
      </c>
      <c r="AH14" s="537"/>
      <c r="AI14" s="537">
        <f>SUM(AI15:AI16)</f>
        <v>21650391.836241074</v>
      </c>
      <c r="AJ14" s="537">
        <f>SUM(AJ15:AJ16)</f>
        <v>24248392.29659</v>
      </c>
      <c r="AK14" s="537"/>
      <c r="AL14" s="537">
        <f>SUM(AL15:AL16)</f>
        <v>14887489.522589643</v>
      </c>
      <c r="AM14" s="537">
        <f>SUM(AM15:AM16)</f>
        <v>16495285.402940001</v>
      </c>
      <c r="AN14" s="537"/>
      <c r="AO14" s="537">
        <f>SUM(AO15:AO16)</f>
        <v>-6762902.3136514286</v>
      </c>
      <c r="AP14" s="537">
        <f>SUM(AP15:AP16)</f>
        <v>-7753107.7336500008</v>
      </c>
      <c r="AQ14" s="537"/>
      <c r="AR14" s="539">
        <f>IF(AI14=0,"",AL14/AI14)</f>
        <v>0.68763141264118566</v>
      </c>
      <c r="AS14" s="538">
        <f>SUM(AS15:AS16)</f>
        <v>1888120.9743550001</v>
      </c>
      <c r="AT14" s="538">
        <f>SUM(AT15:AT16)</f>
        <v>9236220.5086421426</v>
      </c>
      <c r="AU14" s="538">
        <f>SUM(AU15:AU16)</f>
        <v>3763148.0395924994</v>
      </c>
      <c r="AV14" s="537">
        <f>SUM(AV15:AV16)</f>
        <v>25776647.660990436</v>
      </c>
      <c r="AW14" s="537">
        <f>SUM(AW15:AW16)</f>
        <v>28869799.624309294</v>
      </c>
      <c r="AX14" s="537"/>
      <c r="AY14" s="537">
        <f>SUM(AY15:AY16)</f>
        <v>0</v>
      </c>
      <c r="AZ14" s="537">
        <f>SUM(AZ15:AZ16)</f>
        <v>0</v>
      </c>
      <c r="BA14" s="537">
        <f>SUM(BA15:BA16)</f>
        <v>0</v>
      </c>
      <c r="BB14" s="537">
        <f>SUM(BB15:BB16)</f>
        <v>0</v>
      </c>
      <c r="BC14" s="537">
        <f>SUM(BC15:BC16)</f>
        <v>0</v>
      </c>
      <c r="BD14" s="537">
        <f>SUM(BD15:BD16)</f>
        <v>0</v>
      </c>
      <c r="BE14" s="537">
        <f>SUM(BE15:BE16)</f>
        <v>0</v>
      </c>
      <c r="BF14" s="537">
        <f>SUM(BF15:BF16)</f>
        <v>0</v>
      </c>
      <c r="BG14" s="537">
        <f>SUM(BG15:BG16)</f>
        <v>0</v>
      </c>
      <c r="BH14" s="537">
        <f>SUM(BH15:BH16)</f>
        <v>0</v>
      </c>
      <c r="BI14" s="537">
        <f>SUM(BI15:BI16)</f>
        <v>0</v>
      </c>
      <c r="BJ14" s="537">
        <f>SUM(BJ15:BJ16)</f>
        <v>0</v>
      </c>
      <c r="BK14" s="537">
        <f>SUM(BK15:BK16)</f>
        <v>0</v>
      </c>
      <c r="BL14" s="537">
        <f>SUM(BL15:BL16)</f>
        <v>0</v>
      </c>
      <c r="BM14" s="538"/>
      <c r="BN14" s="538">
        <f>SUM(BN15:BN16)</f>
        <v>0</v>
      </c>
      <c r="BO14" s="537">
        <f>SUM(BO15:BO16)</f>
        <v>12344.72027</v>
      </c>
      <c r="BP14" s="537">
        <f>SUM(BP15:BP16)</f>
        <v>5850306.83629</v>
      </c>
      <c r="BQ14" s="537">
        <f>SUM(BQ15:BQ16)</f>
        <v>38.474249999999998</v>
      </c>
      <c r="BR14" s="536"/>
      <c r="BS14" s="536"/>
      <c r="BT14" s="536"/>
      <c r="BW14" s="535"/>
      <c r="BX14" s="534"/>
    </row>
    <row r="15" spans="1:76" s="145" customFormat="1" x14ac:dyDescent="0.25">
      <c r="A15" s="532"/>
      <c r="B15" s="531"/>
      <c r="C15" s="530" t="s">
        <v>6</v>
      </c>
      <c r="D15" s="158" t="s">
        <v>5</v>
      </c>
      <c r="E15" s="522">
        <f>E19+E105+E121+E26</f>
        <v>54214320</v>
      </c>
      <c r="F15" s="522">
        <f>F19+F105+F121+F26</f>
        <v>60719991.840000004</v>
      </c>
      <c r="G15" s="523"/>
      <c r="H15" s="522"/>
      <c r="I15" s="522">
        <f>I19+I105+I121+I26</f>
        <v>18587892</v>
      </c>
      <c r="J15" s="522">
        <f>J19+J105+J121+J26</f>
        <v>20818392.48</v>
      </c>
      <c r="K15" s="526"/>
      <c r="L15" s="523"/>
      <c r="M15" s="523"/>
      <c r="N15" s="525">
        <f>N19+N105+N121+N26</f>
        <v>29945261925.408211</v>
      </c>
      <c r="O15" s="525">
        <f>O19+O105+O121+O26</f>
        <v>33505817829.449997</v>
      </c>
      <c r="P15" s="525">
        <f>P19+P105+P121+P26</f>
        <v>31118924168.448212</v>
      </c>
      <c r="Q15" s="525">
        <f>Q19+Q105+Q121+Q26</f>
        <v>34679480072.489998</v>
      </c>
      <c r="R15" s="523"/>
      <c r="S15" s="522"/>
      <c r="T15" s="522">
        <f>T19+T105+T121+T26</f>
        <v>3958933.9285714282</v>
      </c>
      <c r="U15" s="522">
        <f>U19+U105+U121+U26</f>
        <v>4434006</v>
      </c>
      <c r="V15" s="522"/>
      <c r="W15" s="522">
        <f>W19+W105+W121+W26</f>
        <v>2900534.6294642854</v>
      </c>
      <c r="X15" s="522">
        <f>X19+X105+X121+X26</f>
        <v>3248598.7850000001</v>
      </c>
      <c r="Y15" s="522"/>
      <c r="Z15" s="522">
        <f>Z19+Z105+Z121+Z26</f>
        <v>0</v>
      </c>
      <c r="AA15" s="522">
        <f>AA19+AA105+AA121+AA26</f>
        <v>0</v>
      </c>
      <c r="AB15" s="522"/>
      <c r="AC15" s="522">
        <f>AC19+AC105+AC121+AC26</f>
        <v>2929094.4984299992</v>
      </c>
      <c r="AD15" s="522">
        <f>AD19+AD105+AD121+AD26</f>
        <v>3280888.4660100001</v>
      </c>
      <c r="AE15" s="522"/>
      <c r="AF15" s="522">
        <f>AF19+AF105+AF121+AF26</f>
        <v>9788563.0564657133</v>
      </c>
      <c r="AG15" s="522">
        <f>AG19+AG105+AG121+AG26</f>
        <v>10963493.251010001</v>
      </c>
      <c r="AH15" s="522"/>
      <c r="AI15" s="522">
        <f>AI19+AI105+AI121+AI26</f>
        <v>18587891.836241074</v>
      </c>
      <c r="AJ15" s="522">
        <f>AJ19+AJ105+AJ121+AJ26</f>
        <v>20818392.29659</v>
      </c>
      <c r="AK15" s="522"/>
      <c r="AL15" s="522">
        <f>AL19+AL105+AL121+AL26</f>
        <v>11824989.522589643</v>
      </c>
      <c r="AM15" s="522">
        <f>AM19+AM105+AM121+AM26</f>
        <v>13065285.402940001</v>
      </c>
      <c r="AN15" s="522"/>
      <c r="AO15" s="522">
        <f>AO19+AO105+AO121+AO26</f>
        <v>-6762902.3136514286</v>
      </c>
      <c r="AP15" s="522">
        <f>AP19+AP105+AP121+AP26</f>
        <v>-7753107.7336500008</v>
      </c>
      <c r="AQ15" s="522"/>
      <c r="AR15" s="524">
        <f>IF(AI15=0,"",AL15/AI15)</f>
        <v>0.63616625418135342</v>
      </c>
      <c r="AS15" s="523">
        <f>AS19+AS105+AS121+AS26</f>
        <v>1391923.652955357</v>
      </c>
      <c r="AT15" s="523">
        <f>AT19+AT105+AT121+AT26</f>
        <v>7839516.9372949991</v>
      </c>
      <c r="AU15" s="523">
        <f>AU19+AU105+AU121+AU26</f>
        <v>2593548.932339286</v>
      </c>
      <c r="AV15" s="522">
        <f>AV19+AV105+AV121+AV26</f>
        <v>22714147.660990436</v>
      </c>
      <c r="AW15" s="522">
        <f>AW19+AW105+AW121+AW26</f>
        <v>25439799.624309294</v>
      </c>
      <c r="AX15" s="522"/>
      <c r="AY15" s="522">
        <f>AY19+AY105+AY121+AY26</f>
        <v>0</v>
      </c>
      <c r="AZ15" s="522">
        <f>AZ19+AZ105+AZ121+AZ26</f>
        <v>0</v>
      </c>
      <c r="BA15" s="522">
        <f>BA19+BA105+BA121+BA26</f>
        <v>0</v>
      </c>
      <c r="BB15" s="522">
        <f>BB19+BB105+BB121+BB26</f>
        <v>0</v>
      </c>
      <c r="BC15" s="522">
        <f>BC19+BC105+BC121+BC26</f>
        <v>0</v>
      </c>
      <c r="BD15" s="522">
        <f>BD19+BD105+BD121+BD26</f>
        <v>0</v>
      </c>
      <c r="BE15" s="522">
        <f>BE19+BE105+BE121+BE26</f>
        <v>0</v>
      </c>
      <c r="BF15" s="522">
        <f>BF19+BF105+BF121+BF26</f>
        <v>0</v>
      </c>
      <c r="BG15" s="522">
        <f>BG19+BG105+BG121+BG26</f>
        <v>0</v>
      </c>
      <c r="BH15" s="522">
        <f>BH19+BH105+BH121+BH26</f>
        <v>0</v>
      </c>
      <c r="BI15" s="522">
        <f>BI19+BI105+BI121+BI26</f>
        <v>0</v>
      </c>
      <c r="BJ15" s="522">
        <f>BJ19+BJ105+BJ121+BJ26</f>
        <v>0</v>
      </c>
      <c r="BK15" s="522">
        <f>BK19+BK105+BK121+BK26</f>
        <v>0</v>
      </c>
      <c r="BL15" s="522">
        <f>BL19+BL105+BL121+BL26</f>
        <v>0</v>
      </c>
      <c r="BM15" s="523"/>
      <c r="BN15" s="523">
        <f>BN19+BN105+BN121</f>
        <v>0</v>
      </c>
      <c r="BO15" s="522">
        <f>BO19+BO105+BO121+BO26</f>
        <v>12344.72027</v>
      </c>
      <c r="BP15" s="522">
        <f>BP19+BP105+BP121+BP26</f>
        <v>5850306.83629</v>
      </c>
      <c r="BQ15" s="522">
        <f>BQ19+BQ105+BQ121+BQ26</f>
        <v>38.474249999999998</v>
      </c>
      <c r="BR15" s="148"/>
      <c r="BS15" s="148"/>
      <c r="BT15" s="148"/>
      <c r="BW15" s="147"/>
      <c r="BX15" s="146"/>
    </row>
    <row r="16" spans="1:76" s="145" customFormat="1" x14ac:dyDescent="0.25">
      <c r="A16" s="529"/>
      <c r="B16" s="528"/>
      <c r="C16" s="527"/>
      <c r="D16" s="158" t="s">
        <v>115</v>
      </c>
      <c r="E16" s="522">
        <f>E106</f>
        <v>13461570</v>
      </c>
      <c r="F16" s="522">
        <f>F106</f>
        <v>15076958.400000002</v>
      </c>
      <c r="G16" s="523"/>
      <c r="H16" s="522"/>
      <c r="I16" s="522">
        <f>I106</f>
        <v>3062500</v>
      </c>
      <c r="J16" s="522">
        <f>J106</f>
        <v>3430000.0000000005</v>
      </c>
      <c r="K16" s="526"/>
      <c r="L16" s="523"/>
      <c r="M16" s="523"/>
      <c r="N16" s="525">
        <f>N106</f>
        <v>13461569580.357141</v>
      </c>
      <c r="O16" s="525">
        <f>O106</f>
        <v>15076957930</v>
      </c>
      <c r="P16" s="525">
        <f>P106</f>
        <v>13461569580.357141</v>
      </c>
      <c r="Q16" s="525">
        <f>Q106</f>
        <v>15076957930</v>
      </c>
      <c r="R16" s="523"/>
      <c r="S16" s="522"/>
      <c r="T16" s="522">
        <f>T106</f>
        <v>0</v>
      </c>
      <c r="U16" s="522">
        <f>U106</f>
        <v>0</v>
      </c>
      <c r="V16" s="522"/>
      <c r="W16" s="522">
        <f>W106</f>
        <v>0</v>
      </c>
      <c r="X16" s="522">
        <f>X106</f>
        <v>0</v>
      </c>
      <c r="Y16" s="522"/>
      <c r="Z16" s="522">
        <f>Z106</f>
        <v>0</v>
      </c>
      <c r="AA16" s="522">
        <f>AA106</f>
        <v>0</v>
      </c>
      <c r="AB16" s="522"/>
      <c r="AC16" s="522">
        <f>AC106</f>
        <v>7335676.7232142845</v>
      </c>
      <c r="AD16" s="522">
        <f>AD106</f>
        <v>8215957.9299999997</v>
      </c>
      <c r="AE16" s="522"/>
      <c r="AF16" s="522">
        <f>AF106</f>
        <v>7335676.7232142845</v>
      </c>
      <c r="AG16" s="522">
        <f>AG106</f>
        <v>8215957.9299999997</v>
      </c>
      <c r="AH16" s="522"/>
      <c r="AI16" s="522">
        <f>AI106</f>
        <v>3062500</v>
      </c>
      <c r="AJ16" s="522">
        <f>AJ106</f>
        <v>3430000.0000000005</v>
      </c>
      <c r="AK16" s="522"/>
      <c r="AL16" s="522">
        <f>AL106</f>
        <v>3062499.9999999995</v>
      </c>
      <c r="AM16" s="522">
        <f>AM106</f>
        <v>3430000</v>
      </c>
      <c r="AN16" s="522"/>
      <c r="AO16" s="522">
        <f>AO106</f>
        <v>0</v>
      </c>
      <c r="AP16" s="522">
        <f>AP106</f>
        <v>0</v>
      </c>
      <c r="AQ16" s="522"/>
      <c r="AR16" s="524">
        <f>IF(AI16=0,"",AL16/AI16)</f>
        <v>0.99999999999999989</v>
      </c>
      <c r="AS16" s="523">
        <f>AS106</f>
        <v>496197.32139964297</v>
      </c>
      <c r="AT16" s="523">
        <f>AT106</f>
        <v>1396703.571347143</v>
      </c>
      <c r="AU16" s="523">
        <f>AU106</f>
        <v>1169599.1072532134</v>
      </c>
      <c r="AV16" s="522">
        <f>AV106</f>
        <v>3062500</v>
      </c>
      <c r="AW16" s="522">
        <f>AW106</f>
        <v>3430000.0000000005</v>
      </c>
      <c r="AX16" s="522"/>
      <c r="AY16" s="522">
        <f>AY106</f>
        <v>0</v>
      </c>
      <c r="AZ16" s="522">
        <f>AZ106</f>
        <v>0</v>
      </c>
      <c r="BA16" s="522">
        <f>BA106</f>
        <v>0</v>
      </c>
      <c r="BB16" s="522">
        <f>BB106</f>
        <v>0</v>
      </c>
      <c r="BC16" s="522">
        <f>BC106</f>
        <v>0</v>
      </c>
      <c r="BD16" s="522">
        <f>BD106</f>
        <v>0</v>
      </c>
      <c r="BE16" s="522">
        <f>BE106</f>
        <v>0</v>
      </c>
      <c r="BF16" s="522">
        <f>BF106</f>
        <v>0</v>
      </c>
      <c r="BG16" s="522">
        <f>BG106</f>
        <v>0</v>
      </c>
      <c r="BH16" s="522">
        <f>BH106</f>
        <v>0</v>
      </c>
      <c r="BI16" s="522">
        <f>BI106</f>
        <v>0</v>
      </c>
      <c r="BJ16" s="522">
        <f>BJ106</f>
        <v>0</v>
      </c>
      <c r="BK16" s="522">
        <f>BK106</f>
        <v>0</v>
      </c>
      <c r="BL16" s="522">
        <f>BL106</f>
        <v>0</v>
      </c>
      <c r="BM16" s="523"/>
      <c r="BN16" s="523">
        <f>BN106</f>
        <v>0</v>
      </c>
      <c r="BO16" s="522">
        <f>BO106</f>
        <v>0</v>
      </c>
      <c r="BP16" s="522">
        <f>BP106</f>
        <v>0</v>
      </c>
      <c r="BQ16" s="522">
        <f>BQ106</f>
        <v>0</v>
      </c>
      <c r="BR16" s="148"/>
      <c r="BS16" s="148"/>
      <c r="BT16" s="148"/>
      <c r="BW16" s="147"/>
      <c r="BX16" s="146"/>
    </row>
    <row r="17" spans="1:76" s="327" customFormat="1" hidden="1" outlineLevel="1" x14ac:dyDescent="0.25">
      <c r="A17" s="99">
        <v>1</v>
      </c>
      <c r="B17" s="98" t="s">
        <v>162</v>
      </c>
      <c r="C17" s="97" t="s">
        <v>9</v>
      </c>
      <c r="D17" s="97" t="s">
        <v>8</v>
      </c>
      <c r="E17" s="245">
        <f>E20</f>
        <v>0</v>
      </c>
      <c r="F17" s="245">
        <f>F20</f>
        <v>0</v>
      </c>
      <c r="G17" s="417"/>
      <c r="H17" s="245"/>
      <c r="I17" s="410">
        <f>I20</f>
        <v>0</v>
      </c>
      <c r="J17" s="410">
        <f>J20</f>
        <v>0</v>
      </c>
      <c r="K17" s="92"/>
      <c r="L17" s="416"/>
      <c r="M17" s="415"/>
      <c r="N17" s="414">
        <f>N20</f>
        <v>0</v>
      </c>
      <c r="O17" s="414">
        <f>O20</f>
        <v>0</v>
      </c>
      <c r="P17" s="414">
        <f>P20</f>
        <v>0</v>
      </c>
      <c r="Q17" s="414">
        <f>Q20</f>
        <v>0</v>
      </c>
      <c r="R17" s="413">
        <f>R20</f>
        <v>0</v>
      </c>
      <c r="S17" s="245">
        <f>S20</f>
        <v>0</v>
      </c>
      <c r="T17" s="410">
        <f>T20</f>
        <v>0</v>
      </c>
      <c r="U17" s="410">
        <f>U20</f>
        <v>0</v>
      </c>
      <c r="V17" s="410">
        <f>V20</f>
        <v>0</v>
      </c>
      <c r="W17" s="410">
        <f>W20</f>
        <v>0</v>
      </c>
      <c r="X17" s="410">
        <f>X20</f>
        <v>0</v>
      </c>
      <c r="Y17" s="410">
        <f>Y20</f>
        <v>0</v>
      </c>
      <c r="Z17" s="410">
        <f>Z20</f>
        <v>0</v>
      </c>
      <c r="AA17" s="410">
        <f>AA20</f>
        <v>0</v>
      </c>
      <c r="AB17" s="410">
        <f>AB20</f>
        <v>0</v>
      </c>
      <c r="AC17" s="410">
        <f>AC20</f>
        <v>0</v>
      </c>
      <c r="AD17" s="410">
        <f>AD20</f>
        <v>0</v>
      </c>
      <c r="AE17" s="410">
        <f>AE20</f>
        <v>0</v>
      </c>
      <c r="AF17" s="410">
        <f>AF20</f>
        <v>0</v>
      </c>
      <c r="AG17" s="410">
        <f>AG20</f>
        <v>0</v>
      </c>
      <c r="AH17" s="410">
        <f>AH20</f>
        <v>0</v>
      </c>
      <c r="AI17" s="410">
        <f>AI20</f>
        <v>0</v>
      </c>
      <c r="AJ17" s="410">
        <f>AJ20</f>
        <v>0</v>
      </c>
      <c r="AK17" s="410"/>
      <c r="AL17" s="410">
        <f>AL20</f>
        <v>0</v>
      </c>
      <c r="AM17" s="245">
        <f>AM20</f>
        <v>0</v>
      </c>
      <c r="AN17" s="410"/>
      <c r="AO17" s="245">
        <f>AO20</f>
        <v>0</v>
      </c>
      <c r="AP17" s="245">
        <f>AP20</f>
        <v>0</v>
      </c>
      <c r="AQ17" s="245"/>
      <c r="AR17" s="412" t="str">
        <f>IF(AI17=0,"",AL17/AI17)</f>
        <v/>
      </c>
      <c r="AS17" s="460">
        <f>AS20</f>
        <v>0</v>
      </c>
      <c r="AT17" s="460">
        <f>AT20</f>
        <v>0</v>
      </c>
      <c r="AU17" s="460">
        <f>AU20</f>
        <v>0</v>
      </c>
      <c r="AV17" s="245">
        <f>AV20</f>
        <v>0</v>
      </c>
      <c r="AW17" s="245">
        <f>AW20</f>
        <v>0</v>
      </c>
      <c r="AX17" s="521"/>
      <c r="AY17" s="245">
        <f>AY20</f>
        <v>0</v>
      </c>
      <c r="AZ17" s="245">
        <f>AZ20</f>
        <v>0</v>
      </c>
      <c r="BA17" s="245">
        <f>BA20</f>
        <v>0</v>
      </c>
      <c r="BB17" s="245">
        <f>BB20</f>
        <v>0</v>
      </c>
      <c r="BC17" s="245">
        <f>BC20</f>
        <v>0</v>
      </c>
      <c r="BD17" s="245">
        <f>BD20</f>
        <v>0</v>
      </c>
      <c r="BE17" s="245">
        <f>BE20</f>
        <v>0</v>
      </c>
      <c r="BF17" s="245">
        <f>BF20</f>
        <v>0</v>
      </c>
      <c r="BG17" s="245">
        <f>BG20</f>
        <v>0</v>
      </c>
      <c r="BH17" s="245">
        <f>BH20</f>
        <v>0</v>
      </c>
      <c r="BI17" s="245">
        <f>BI20</f>
        <v>0</v>
      </c>
      <c r="BJ17" s="245">
        <f>BJ20</f>
        <v>0</v>
      </c>
      <c r="BK17" s="245">
        <f>BK20</f>
        <v>0</v>
      </c>
      <c r="BL17" s="245">
        <f>BL20</f>
        <v>0</v>
      </c>
      <c r="BM17" s="89"/>
      <c r="BN17" s="89">
        <f>BN20</f>
        <v>0</v>
      </c>
      <c r="BO17" s="89">
        <f>BO20</f>
        <v>0</v>
      </c>
      <c r="BP17" s="89">
        <f>BP20</f>
        <v>0</v>
      </c>
      <c r="BQ17" s="89">
        <f>BQ20</f>
        <v>0</v>
      </c>
      <c r="BR17" s="89"/>
      <c r="BS17" s="89"/>
      <c r="BT17" s="89"/>
      <c r="BW17" s="419">
        <f>SUM(AY17:BL17)</f>
        <v>0</v>
      </c>
      <c r="BX17" s="418">
        <f>AO17-BW17</f>
        <v>0</v>
      </c>
    </row>
    <row r="18" spans="1:76" s="327" customFormat="1" hidden="1" outlineLevel="1" x14ac:dyDescent="0.25">
      <c r="A18" s="99"/>
      <c r="B18" s="98"/>
      <c r="C18" s="97" t="s">
        <v>6</v>
      </c>
      <c r="D18" s="97" t="s">
        <v>26</v>
      </c>
      <c r="E18" s="245">
        <f>E21+E23</f>
        <v>0</v>
      </c>
      <c r="F18" s="245">
        <f>F21+F23</f>
        <v>0</v>
      </c>
      <c r="G18" s="417"/>
      <c r="H18" s="245"/>
      <c r="I18" s="410">
        <f>I21+I23</f>
        <v>0</v>
      </c>
      <c r="J18" s="410">
        <f>J21+J23</f>
        <v>0</v>
      </c>
      <c r="K18" s="92"/>
      <c r="L18" s="416"/>
      <c r="M18" s="415"/>
      <c r="N18" s="414">
        <f>N21+N23</f>
        <v>0</v>
      </c>
      <c r="O18" s="414">
        <f>O21+O23</f>
        <v>0</v>
      </c>
      <c r="P18" s="414">
        <f>P21+P23</f>
        <v>0</v>
      </c>
      <c r="Q18" s="414">
        <f>Q21+Q23</f>
        <v>0</v>
      </c>
      <c r="R18" s="413">
        <f>R21+R23</f>
        <v>0</v>
      </c>
      <c r="S18" s="245">
        <f>S21+S23</f>
        <v>0</v>
      </c>
      <c r="T18" s="410">
        <f>T21+T23</f>
        <v>0</v>
      </c>
      <c r="U18" s="410">
        <f>U21+U23</f>
        <v>0</v>
      </c>
      <c r="V18" s="410">
        <f>V21+V23</f>
        <v>0</v>
      </c>
      <c r="W18" s="410">
        <f>W21+W23</f>
        <v>0</v>
      </c>
      <c r="X18" s="410">
        <f>X21+X23</f>
        <v>0</v>
      </c>
      <c r="Y18" s="410">
        <f>Y21+Y23</f>
        <v>0</v>
      </c>
      <c r="Z18" s="410">
        <f>Z21+Z23</f>
        <v>0</v>
      </c>
      <c r="AA18" s="410">
        <f>AA21+AA23</f>
        <v>0</v>
      </c>
      <c r="AB18" s="410">
        <f>AB21+AB23</f>
        <v>0</v>
      </c>
      <c r="AC18" s="410">
        <f>AC21+AC23</f>
        <v>0</v>
      </c>
      <c r="AD18" s="410">
        <f>AD21+AD23</f>
        <v>0</v>
      </c>
      <c r="AE18" s="410">
        <f>AE21+AE23</f>
        <v>0</v>
      </c>
      <c r="AF18" s="410">
        <f>AF21+AF23</f>
        <v>0</v>
      </c>
      <c r="AG18" s="410">
        <f>AG21+AG23</f>
        <v>0</v>
      </c>
      <c r="AH18" s="410">
        <f>AH21+AH23</f>
        <v>0</v>
      </c>
      <c r="AI18" s="410">
        <f>AI21+AI23</f>
        <v>0</v>
      </c>
      <c r="AJ18" s="410">
        <f>AJ21+AJ23</f>
        <v>0</v>
      </c>
      <c r="AK18" s="410"/>
      <c r="AL18" s="410">
        <f>AL21+AL23</f>
        <v>0</v>
      </c>
      <c r="AM18" s="245">
        <f>AM21+AM23</f>
        <v>0</v>
      </c>
      <c r="AN18" s="410"/>
      <c r="AO18" s="245">
        <f>AO21+AO23</f>
        <v>0</v>
      </c>
      <c r="AP18" s="245">
        <f>AP21+AP23</f>
        <v>0</v>
      </c>
      <c r="AQ18" s="245"/>
      <c r="AR18" s="412" t="str">
        <f>IF(AI18=0,"",AL18/AI18)</f>
        <v/>
      </c>
      <c r="AS18" s="460">
        <f>AS21+AS23</f>
        <v>0</v>
      </c>
      <c r="AT18" s="460">
        <f>AT21+AT23</f>
        <v>0</v>
      </c>
      <c r="AU18" s="460">
        <f>AU21+AU23</f>
        <v>0</v>
      </c>
      <c r="AV18" s="245">
        <f>AV21+AV23</f>
        <v>0</v>
      </c>
      <c r="AW18" s="245">
        <f>AW21+AW23</f>
        <v>0</v>
      </c>
      <c r="AX18" s="245"/>
      <c r="AY18" s="245">
        <f>AY21+AY23</f>
        <v>0</v>
      </c>
      <c r="AZ18" s="245">
        <f>AZ21+AZ23</f>
        <v>0</v>
      </c>
      <c r="BA18" s="245">
        <f>BA21+BA23</f>
        <v>0</v>
      </c>
      <c r="BB18" s="245">
        <f>BB21+BB23</f>
        <v>0</v>
      </c>
      <c r="BC18" s="245">
        <f>BC21+BC23</f>
        <v>0</v>
      </c>
      <c r="BD18" s="245">
        <f>BD21+BD23</f>
        <v>0</v>
      </c>
      <c r="BE18" s="245">
        <f>BE21+BE23</f>
        <v>0</v>
      </c>
      <c r="BF18" s="245">
        <f>BF21+BF23</f>
        <v>0</v>
      </c>
      <c r="BG18" s="245">
        <f>BG21+BG23</f>
        <v>0</v>
      </c>
      <c r="BH18" s="245">
        <f>BH21+BH23</f>
        <v>0</v>
      </c>
      <c r="BI18" s="245">
        <f>BI21+BI23</f>
        <v>0</v>
      </c>
      <c r="BJ18" s="245">
        <f>BJ21+BJ23</f>
        <v>0</v>
      </c>
      <c r="BK18" s="245">
        <f>BK21+BK23</f>
        <v>0</v>
      </c>
      <c r="BL18" s="245">
        <f>BL21+BL23</f>
        <v>0</v>
      </c>
      <c r="BM18" s="89"/>
      <c r="BN18" s="89">
        <f>BN21+BN23</f>
        <v>0</v>
      </c>
      <c r="BO18" s="89">
        <f>BO21+BO23</f>
        <v>0</v>
      </c>
      <c r="BP18" s="89">
        <f>BP21+BP23</f>
        <v>0</v>
      </c>
      <c r="BQ18" s="89">
        <f>BQ21+BQ23</f>
        <v>0</v>
      </c>
      <c r="BR18" s="89"/>
      <c r="BS18" s="89"/>
      <c r="BT18" s="89"/>
      <c r="BW18" s="329"/>
      <c r="BX18" s="328"/>
    </row>
    <row r="19" spans="1:76" s="393" customFormat="1" hidden="1" outlineLevel="1" x14ac:dyDescent="0.25">
      <c r="A19" s="99"/>
      <c r="B19" s="98"/>
      <c r="C19" s="408" t="s">
        <v>6</v>
      </c>
      <c r="D19" s="408" t="s">
        <v>5</v>
      </c>
      <c r="E19" s="397">
        <f>E22+E23</f>
        <v>0</v>
      </c>
      <c r="F19" s="397">
        <f>F22+F23</f>
        <v>0</v>
      </c>
      <c r="G19" s="407"/>
      <c r="H19" s="397"/>
      <c r="I19" s="401">
        <f>I22+I23</f>
        <v>0</v>
      </c>
      <c r="J19" s="401">
        <f>J22+J23</f>
        <v>0</v>
      </c>
      <c r="K19" s="406"/>
      <c r="L19" s="405"/>
      <c r="M19" s="404"/>
      <c r="N19" s="403">
        <f>N22+N23</f>
        <v>0</v>
      </c>
      <c r="O19" s="403">
        <f>O22+O23</f>
        <v>0</v>
      </c>
      <c r="P19" s="403">
        <f>P22+P23</f>
        <v>0</v>
      </c>
      <c r="Q19" s="403">
        <f>Q22+Q23</f>
        <v>0</v>
      </c>
      <c r="R19" s="402">
        <f>R22+R23</f>
        <v>0</v>
      </c>
      <c r="S19" s="397">
        <f>S22+S23</f>
        <v>0</v>
      </c>
      <c r="T19" s="401">
        <f>T22+T23</f>
        <v>0</v>
      </c>
      <c r="U19" s="401">
        <f>U22+U23</f>
        <v>0</v>
      </c>
      <c r="V19" s="401">
        <f>V22+V23</f>
        <v>0</v>
      </c>
      <c r="W19" s="401">
        <f>W22+W23</f>
        <v>0</v>
      </c>
      <c r="X19" s="401">
        <f>X22+X23</f>
        <v>0</v>
      </c>
      <c r="Y19" s="401">
        <f>Y22+Y23</f>
        <v>0</v>
      </c>
      <c r="Z19" s="401">
        <f>Z22+Z23</f>
        <v>0</v>
      </c>
      <c r="AA19" s="401">
        <f>AA22+AA23</f>
        <v>0</v>
      </c>
      <c r="AB19" s="401">
        <f>AB22+AB23</f>
        <v>0</v>
      </c>
      <c r="AC19" s="401">
        <f>AC22+AC23</f>
        <v>0</v>
      </c>
      <c r="AD19" s="401">
        <f>AD22+AD23</f>
        <v>0</v>
      </c>
      <c r="AE19" s="401">
        <f>AE22+AE23</f>
        <v>0</v>
      </c>
      <c r="AF19" s="401">
        <f>AF22+AF23</f>
        <v>0</v>
      </c>
      <c r="AG19" s="401">
        <f>AG22+AG23</f>
        <v>0</v>
      </c>
      <c r="AH19" s="401">
        <f>AH22+AH23</f>
        <v>0</v>
      </c>
      <c r="AI19" s="401">
        <f>AI22+AI23</f>
        <v>0</v>
      </c>
      <c r="AJ19" s="401">
        <f>AJ22+AJ23</f>
        <v>0</v>
      </c>
      <c r="AK19" s="401"/>
      <c r="AL19" s="401">
        <f>AL22+AL23</f>
        <v>0</v>
      </c>
      <c r="AM19" s="397">
        <f>AM22+AM23</f>
        <v>0</v>
      </c>
      <c r="AN19" s="401"/>
      <c r="AO19" s="397">
        <f>AO22+AO23</f>
        <v>0</v>
      </c>
      <c r="AP19" s="397">
        <f>AP22+AP23</f>
        <v>0</v>
      </c>
      <c r="AQ19" s="397"/>
      <c r="AR19" s="400" t="str">
        <f>IF(AI19=0,"",AL19/AI19)</f>
        <v/>
      </c>
      <c r="AS19" s="399">
        <f>AS22+AS23</f>
        <v>0</v>
      </c>
      <c r="AT19" s="399">
        <f>AT22+AT23</f>
        <v>0</v>
      </c>
      <c r="AU19" s="399">
        <f>AU22+AU23</f>
        <v>0</v>
      </c>
      <c r="AV19" s="397">
        <f>AV22+AV23</f>
        <v>0</v>
      </c>
      <c r="AW19" s="397">
        <f>AW22+AW23</f>
        <v>0</v>
      </c>
      <c r="AX19" s="397"/>
      <c r="AY19" s="397">
        <f>AY22+AY23</f>
        <v>0</v>
      </c>
      <c r="AZ19" s="397">
        <f>AZ22+AZ23</f>
        <v>0</v>
      </c>
      <c r="BA19" s="397">
        <f>BA22+BA23</f>
        <v>0</v>
      </c>
      <c r="BB19" s="397">
        <f>BB22+BB23</f>
        <v>0</v>
      </c>
      <c r="BC19" s="397">
        <f>BC22+BC23</f>
        <v>0</v>
      </c>
      <c r="BD19" s="397">
        <f>BD22+BD23</f>
        <v>0</v>
      </c>
      <c r="BE19" s="397">
        <f>BE22+BE23</f>
        <v>0</v>
      </c>
      <c r="BF19" s="397">
        <f>BF22+BF23</f>
        <v>0</v>
      </c>
      <c r="BG19" s="397">
        <f>BG22+BG23</f>
        <v>0</v>
      </c>
      <c r="BH19" s="397">
        <f>BH22+BH23</f>
        <v>0</v>
      </c>
      <c r="BI19" s="397">
        <f>BI22+BI23</f>
        <v>0</v>
      </c>
      <c r="BJ19" s="397">
        <f>BJ22+BJ23</f>
        <v>0</v>
      </c>
      <c r="BK19" s="397">
        <f>BK22+BK23</f>
        <v>0</v>
      </c>
      <c r="BL19" s="397">
        <f>BL22+BL23</f>
        <v>0</v>
      </c>
      <c r="BM19" s="396"/>
      <c r="BN19" s="396">
        <f>BN22+BN23</f>
        <v>0</v>
      </c>
      <c r="BO19" s="396">
        <f>BO22+BO23</f>
        <v>0</v>
      </c>
      <c r="BP19" s="396">
        <f>BP22+BP23</f>
        <v>0</v>
      </c>
      <c r="BQ19" s="396">
        <f>BQ22+BQ23</f>
        <v>0</v>
      </c>
      <c r="BR19" s="396"/>
      <c r="BS19" s="396"/>
      <c r="BT19" s="396"/>
      <c r="BW19" s="395"/>
      <c r="BX19" s="394"/>
    </row>
    <row r="20" spans="1:76" s="327" customFormat="1" ht="12.75" hidden="1" customHeight="1" outlineLevel="1" x14ac:dyDescent="0.25">
      <c r="A20" s="442">
        <v>1</v>
      </c>
      <c r="B20" s="73"/>
      <c r="C20" s="70" t="s">
        <v>9</v>
      </c>
      <c r="D20" s="70" t="s">
        <v>8</v>
      </c>
      <c r="E20" s="64">
        <f>I20</f>
        <v>0</v>
      </c>
      <c r="F20" s="117">
        <f>E20*1.12</f>
        <v>0</v>
      </c>
      <c r="G20" s="441"/>
      <c r="H20" s="437"/>
      <c r="I20" s="117"/>
      <c r="J20" s="117">
        <f>I20*1.12</f>
        <v>0</v>
      </c>
      <c r="K20" s="440"/>
      <c r="L20" s="73"/>
      <c r="M20" s="439"/>
      <c r="N20" s="332">
        <f>O20/1.12</f>
        <v>0</v>
      </c>
      <c r="O20" s="332"/>
      <c r="P20" s="332">
        <f>N20</f>
        <v>0</v>
      </c>
      <c r="Q20" s="332">
        <f>O20</f>
        <v>0</v>
      </c>
      <c r="R20" s="438"/>
      <c r="S20" s="43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>
        <f>AI20</f>
        <v>0</v>
      </c>
      <c r="AK20" s="117"/>
      <c r="AL20" s="117"/>
      <c r="AM20" s="64">
        <f>AL20*1.12</f>
        <v>0</v>
      </c>
      <c r="AN20" s="117"/>
      <c r="AO20" s="64">
        <f>AL20-AI20</f>
        <v>0</v>
      </c>
      <c r="AP20" s="64">
        <f>AM20-AJ20</f>
        <v>0</v>
      </c>
      <c r="AQ20" s="64"/>
      <c r="AR20" s="43" t="str">
        <f>IF(AI20=0,"",AL20/AI20)</f>
        <v/>
      </c>
      <c r="AS20" s="115"/>
      <c r="AT20" s="115"/>
      <c r="AU20" s="115"/>
      <c r="AV20" s="64"/>
      <c r="AW20" s="64">
        <f>AV20</f>
        <v>0</v>
      </c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138"/>
      <c r="BN20" s="138"/>
      <c r="BO20" s="138"/>
      <c r="BP20" s="138"/>
      <c r="BQ20" s="138"/>
      <c r="BR20" s="138"/>
      <c r="BS20" s="138"/>
      <c r="BT20" s="138"/>
      <c r="BW20" s="329"/>
      <c r="BX20" s="328"/>
    </row>
    <row r="21" spans="1:76" s="327" customFormat="1" hidden="1" outlineLevel="1" x14ac:dyDescent="0.25">
      <c r="A21" s="436"/>
      <c r="B21" s="191"/>
      <c r="C21" s="70" t="s">
        <v>6</v>
      </c>
      <c r="D21" s="70" t="s">
        <v>26</v>
      </c>
      <c r="E21" s="64">
        <f>I21</f>
        <v>0</v>
      </c>
      <c r="F21" s="117">
        <f>E21*1.12</f>
        <v>0</v>
      </c>
      <c r="G21" s="435"/>
      <c r="H21" s="431"/>
      <c r="I21" s="117"/>
      <c r="J21" s="117">
        <f>I21*1.12</f>
        <v>0</v>
      </c>
      <c r="K21" s="434"/>
      <c r="L21" s="191"/>
      <c r="M21" s="433"/>
      <c r="N21" s="332">
        <f>N20</f>
        <v>0</v>
      </c>
      <c r="O21" s="332">
        <f>O20</f>
        <v>0</v>
      </c>
      <c r="P21" s="332">
        <f>N21</f>
        <v>0</v>
      </c>
      <c r="Q21" s="332">
        <f>O21</f>
        <v>0</v>
      </c>
      <c r="R21" s="432"/>
      <c r="S21" s="431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>
        <f>AI21</f>
        <v>0</v>
      </c>
      <c r="AK21" s="117"/>
      <c r="AL21" s="117"/>
      <c r="AM21" s="64">
        <f>AL21*1.12</f>
        <v>0</v>
      </c>
      <c r="AN21" s="117"/>
      <c r="AO21" s="64">
        <f>AL21-AI21</f>
        <v>0</v>
      </c>
      <c r="AP21" s="64">
        <f>AM21-AJ21</f>
        <v>0</v>
      </c>
      <c r="AQ21" s="64"/>
      <c r="AR21" s="43" t="str">
        <f>IF(AI21=0,"",AL21/AI21)</f>
        <v/>
      </c>
      <c r="AS21" s="115"/>
      <c r="AT21" s="115"/>
      <c r="AU21" s="115"/>
      <c r="AV21" s="64"/>
      <c r="AW21" s="64">
        <f>AV21*1.12</f>
        <v>0</v>
      </c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138"/>
      <c r="BN21" s="138"/>
      <c r="BO21" s="138"/>
      <c r="BP21" s="138"/>
      <c r="BQ21" s="138"/>
      <c r="BR21" s="138"/>
      <c r="BS21" s="138"/>
      <c r="BT21" s="138"/>
      <c r="BW21" s="329"/>
      <c r="BX21" s="328"/>
    </row>
    <row r="22" spans="1:76" s="320" customFormat="1" hidden="1" outlineLevel="1" x14ac:dyDescent="0.25">
      <c r="A22" s="427"/>
      <c r="B22" s="56"/>
      <c r="C22" s="53" t="s">
        <v>6</v>
      </c>
      <c r="D22" s="53" t="s">
        <v>5</v>
      </c>
      <c r="E22" s="44">
        <f>I22</f>
        <v>0</v>
      </c>
      <c r="F22" s="103">
        <f>E22*1.12</f>
        <v>0</v>
      </c>
      <c r="G22" s="426"/>
      <c r="H22" s="422"/>
      <c r="I22" s="103"/>
      <c r="J22" s="103">
        <f>I22*1.12</f>
        <v>0</v>
      </c>
      <c r="K22" s="425"/>
      <c r="L22" s="56"/>
      <c r="M22" s="424"/>
      <c r="N22" s="325">
        <f>N21</f>
        <v>0</v>
      </c>
      <c r="O22" s="325">
        <f>O21</f>
        <v>0</v>
      </c>
      <c r="P22" s="325">
        <f>N22</f>
        <v>0</v>
      </c>
      <c r="Q22" s="325">
        <f>O22</f>
        <v>0</v>
      </c>
      <c r="R22" s="423"/>
      <c r="S22" s="422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>
        <f>AI22</f>
        <v>0</v>
      </c>
      <c r="AK22" s="103"/>
      <c r="AL22" s="103"/>
      <c r="AM22" s="44">
        <f>AL22*1.12</f>
        <v>0</v>
      </c>
      <c r="AN22" s="103"/>
      <c r="AO22" s="44">
        <f>AL22-AI22</f>
        <v>0</v>
      </c>
      <c r="AP22" s="44">
        <f>AM22-AJ22</f>
        <v>0</v>
      </c>
      <c r="AQ22" s="44"/>
      <c r="AR22" s="324" t="str">
        <f>IF(AI22=0,"",AL22/AI22)</f>
        <v/>
      </c>
      <c r="AS22" s="101"/>
      <c r="AT22" s="101"/>
      <c r="AU22" s="101"/>
      <c r="AV22" s="44">
        <f>AV21</f>
        <v>0</v>
      </c>
      <c r="AW22" s="44">
        <f>AV22*1.12</f>
        <v>0</v>
      </c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131"/>
      <c r="BN22" s="131"/>
      <c r="BO22" s="131"/>
      <c r="BP22" s="131"/>
      <c r="BQ22" s="131"/>
      <c r="BR22" s="131"/>
      <c r="BS22" s="131"/>
      <c r="BT22" s="131"/>
      <c r="BW22" s="322"/>
      <c r="BX22" s="321"/>
    </row>
    <row r="23" spans="1:76" s="320" customFormat="1" ht="25.5" hidden="1" outlineLevel="1" x14ac:dyDescent="0.25">
      <c r="A23" s="463">
        <v>2</v>
      </c>
      <c r="B23" s="462" t="s">
        <v>123</v>
      </c>
      <c r="C23" s="53" t="s">
        <v>6</v>
      </c>
      <c r="D23" s="53" t="s">
        <v>5</v>
      </c>
      <c r="E23" s="44"/>
      <c r="F23" s="44">
        <f>E23*1.12</f>
        <v>0</v>
      </c>
      <c r="G23" s="461"/>
      <c r="H23" s="44"/>
      <c r="I23" s="103"/>
      <c r="J23" s="103">
        <f>I23*1.12</f>
        <v>0</v>
      </c>
      <c r="K23" s="136"/>
      <c r="L23" s="135"/>
      <c r="M23" s="134"/>
      <c r="N23" s="325"/>
      <c r="O23" s="325"/>
      <c r="P23" s="325"/>
      <c r="Q23" s="325"/>
      <c r="R23" s="133"/>
      <c r="S23" s="44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>
        <f>AI23</f>
        <v>0</v>
      </c>
      <c r="AK23" s="103"/>
      <c r="AL23" s="103"/>
      <c r="AM23" s="44">
        <f>AL23*1.12</f>
        <v>0</v>
      </c>
      <c r="AN23" s="103"/>
      <c r="AO23" s="44">
        <f>AL23-AI23</f>
        <v>0</v>
      </c>
      <c r="AP23" s="44">
        <f>AM23-AJ23</f>
        <v>0</v>
      </c>
      <c r="AQ23" s="44"/>
      <c r="AR23" s="324" t="str">
        <f>IF(AI23=0,"",AL23/AI23)</f>
        <v/>
      </c>
      <c r="AS23" s="101">
        <f>AL23</f>
        <v>0</v>
      </c>
      <c r="AT23" s="101"/>
      <c r="AU23" s="101"/>
      <c r="AV23" s="44">
        <f>I23</f>
        <v>0</v>
      </c>
      <c r="AW23" s="44">
        <f>AV23*1.12</f>
        <v>0</v>
      </c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131"/>
      <c r="BN23" s="131"/>
      <c r="BO23" s="131"/>
      <c r="BP23" s="131"/>
      <c r="BQ23" s="131"/>
      <c r="BR23" s="131"/>
      <c r="BS23" s="131"/>
      <c r="BT23" s="131"/>
      <c r="BW23" s="322"/>
      <c r="BX23" s="321"/>
    </row>
    <row r="24" spans="1:76" s="327" customFormat="1" ht="27" customHeight="1" collapsed="1" x14ac:dyDescent="0.25">
      <c r="A24" s="99">
        <v>1</v>
      </c>
      <c r="B24" s="98" t="s">
        <v>11</v>
      </c>
      <c r="C24" s="97" t="s">
        <v>9</v>
      </c>
      <c r="D24" s="97" t="s">
        <v>8</v>
      </c>
      <c r="E24" s="245">
        <f>E27+E42+E57+E84+E87+E90+E93+E96+E99</f>
        <v>175094</v>
      </c>
      <c r="F24" s="245">
        <f>F27+F42+F57+F84+F87+F90+F93+F96+F99</f>
        <v>196058.72000000003</v>
      </c>
      <c r="G24" s="417"/>
      <c r="H24" s="245"/>
      <c r="I24" s="245">
        <f>I27+I42+I57+I84+I87+I90+I93+I96+I99</f>
        <v>175094</v>
      </c>
      <c r="J24" s="245">
        <f>J27+J42+J57+J84+J87+J90+J93+J96+J99</f>
        <v>196058.72000000003</v>
      </c>
      <c r="K24" s="92"/>
      <c r="L24" s="416"/>
      <c r="M24" s="415"/>
      <c r="N24" s="520">
        <f>N27+N42+N57+N84+N87+N90+N93+N96+N99</f>
        <v>50222549.5</v>
      </c>
      <c r="O24" s="520">
        <f>O27+O42+O57+O84+O87+O90+O93+O96+O99</f>
        <v>56203441.360000007</v>
      </c>
      <c r="P24" s="520">
        <f>P27+P42+P57+P84+P87+P90+P93+P96+P99</f>
        <v>50222549.5</v>
      </c>
      <c r="Q24" s="520">
        <f>Q27+Q42+Q57+Q84+Q87+Q90+Q93+Q96+Q99</f>
        <v>56203441.360000007</v>
      </c>
      <c r="R24" s="413"/>
      <c r="S24" s="245"/>
      <c r="T24" s="245">
        <f>T27+T42+T57+T84+T87+T90+T93+T96+T99</f>
        <v>0</v>
      </c>
      <c r="U24" s="245">
        <f>U27+U42+U57+U84+U87+U90+U93+U96+U99</f>
        <v>0</v>
      </c>
      <c r="V24" s="245"/>
      <c r="W24" s="245">
        <f>W27+W42+W57+W84+W87+W90+W93+W96+W99</f>
        <v>0</v>
      </c>
      <c r="X24" s="245">
        <f>X27+X42+X57+X84+X87+X90+X93+X96+X99</f>
        <v>0</v>
      </c>
      <c r="Y24" s="245"/>
      <c r="Z24" s="245">
        <f>Z27+Z42+Z57+Z84+Z87+Z90+Z93+Z96+Z99</f>
        <v>0</v>
      </c>
      <c r="AA24" s="245">
        <f>AA27+AA42+AA57+AA84+AA87+AA90+AA93+AA96+AA99</f>
        <v>0</v>
      </c>
      <c r="AB24" s="245"/>
      <c r="AC24" s="245">
        <f>AC27+AC42+AC57+AC84+AC87+AC90+AC93+AC96+AC99</f>
        <v>0</v>
      </c>
      <c r="AD24" s="245">
        <f>AD27+AD42+AD57+AD84+AD87+AD90+AD93+AD96+AD99</f>
        <v>0</v>
      </c>
      <c r="AE24" s="245"/>
      <c r="AF24" s="245">
        <f>AF27+AF42+AF57+AF84+AF87+AF90+AF93+AF96+AF99</f>
        <v>0</v>
      </c>
      <c r="AG24" s="245">
        <f>AG27+AG42+AG57+AG84+AG87+AG90+AG93+AG96+AG99</f>
        <v>0</v>
      </c>
      <c r="AH24" s="245"/>
      <c r="AI24" s="245">
        <f>AI27+AI42+AI57+AI84+AI87+AI90+AI93+AI96+AI99</f>
        <v>175094</v>
      </c>
      <c r="AJ24" s="245">
        <f>AJ27+AJ42+AJ57+AJ84+AJ87+AJ90+AJ93+AJ96+AJ99</f>
        <v>196058.72000000003</v>
      </c>
      <c r="AK24" s="245"/>
      <c r="AL24" s="245">
        <f>AL27+AL42+AL57+AL84+AL87+AL90+AL93+AL96+AL99</f>
        <v>50222</v>
      </c>
      <c r="AM24" s="245">
        <f>AM27+AM42+AM57+AM84+AM87+AM90+AM93+AM96+AM99</f>
        <v>56202.920000000006</v>
      </c>
      <c r="AN24" s="245"/>
      <c r="AO24" s="245">
        <f>AO27+AO42+AO57+AO84+AO87+AO90+AO93+AO96+AO99</f>
        <v>-124872</v>
      </c>
      <c r="AP24" s="245">
        <f>AP27+AP42+AP57+AP84+AP87+AP90+AP93+AP96+AP99</f>
        <v>-139856.64000000001</v>
      </c>
      <c r="AQ24" s="245"/>
      <c r="AR24" s="412">
        <f>IF(AI24=0,"",AL24/AI24)</f>
        <v>0.2868287891075651</v>
      </c>
      <c r="AS24" s="245">
        <f>AS27+AS42+AS57+AS84+AS87+AS90+AS93+AS96+AS99</f>
        <v>0</v>
      </c>
      <c r="AT24" s="245">
        <f>AT27+AT42+AT57+AT84+AT87+AT90+AT93+AT96+AT99</f>
        <v>0</v>
      </c>
      <c r="AU24" s="245">
        <f>AU27+AU42+AU57+AU84+AU87+AU90+AU93+AU96+AU99</f>
        <v>0</v>
      </c>
      <c r="AV24" s="245">
        <f>AV27+AV42+AV57+AV84+AV87+AV90+AV93+AV96+AV99</f>
        <v>175094</v>
      </c>
      <c r="AW24" s="245">
        <f>AW27+AW42+AW57+AW84+AW87+AW90+AW93+AW96+AW99</f>
        <v>175148.84</v>
      </c>
      <c r="AX24" s="245">
        <f>AX27+AX42+AX57+AX84+AX87+AX90+AX93+AX96+AX99</f>
        <v>0</v>
      </c>
      <c r="AY24" s="245">
        <f>AY27+AY42+AY57+AY84+AY87+AY90+AY93+AY96+AY99</f>
        <v>0</v>
      </c>
      <c r="AZ24" s="245">
        <f>AZ27+AZ42+AZ57+AZ84+AZ87+AZ90+AZ93+AZ96+AZ99</f>
        <v>-1415</v>
      </c>
      <c r="BA24" s="245">
        <f>BA27+BA42+BA57+BA84+BA87+BA90+BA93+BA96+BA99</f>
        <v>0</v>
      </c>
      <c r="BB24" s="245">
        <f>BB27+BB42+BB57+BB84+BB87+BB90+BB93+BB96+BB99</f>
        <v>0</v>
      </c>
      <c r="BC24" s="245">
        <f>BC27+BC42+BC57+BC84+BC87+BC90+BC93+BC96+BC99</f>
        <v>0</v>
      </c>
      <c r="BD24" s="245">
        <f>BD27+BD42+BD57+BD84+BD87+BD90+BD93+BD96+BD99</f>
        <v>0</v>
      </c>
      <c r="BE24" s="245">
        <f>BE27+BE42+BE57+BE84+BE87+BE90+BE93+BE96+BE99</f>
        <v>0</v>
      </c>
      <c r="BF24" s="245">
        <f>BF27+BF42+BF57+BF84+BF87+BF90+BF93+BF96+BF99</f>
        <v>0</v>
      </c>
      <c r="BG24" s="245">
        <f>BG27+BG42+BG57+BG84+BG87+BG90+BG93+BG96+BG99</f>
        <v>0</v>
      </c>
      <c r="BH24" s="245">
        <f>BH27+BH42+BH57+BH84+BH87+BH90+BH93+BH96+BH99</f>
        <v>0</v>
      </c>
      <c r="BI24" s="245">
        <f>BI27+BI42+BI57+BI84+BI87+BI90+BI93+BI96+BI99</f>
        <v>0</v>
      </c>
      <c r="BJ24" s="245">
        <f>BJ27+BJ42+BJ57+BJ84+BJ87+BJ90+BJ93+BJ96+BJ99</f>
        <v>0</v>
      </c>
      <c r="BK24" s="245">
        <f>BK27+BK42+BK57+BK84+BK87+BK90+BK93+BK96+BK99</f>
        <v>0</v>
      </c>
      <c r="BL24" s="245">
        <f>BL27+BL42+BL57+BL84+BL87+BL90+BL93+BL96+BL99</f>
        <v>-123457</v>
      </c>
      <c r="BM24" s="245"/>
      <c r="BN24" s="245">
        <f>BN27+BN42+BN84+BN99+BN87+BN90+BN93+BN96+BN30+BN33+BN36+BN39+BN48+BN51+BN54+BN57+BN60+BN63+BN66+BN81</f>
        <v>0</v>
      </c>
      <c r="BO24" s="245">
        <f>BO27+BO42+BO84+BO99+BO87+BO90+BO93+BO96+BO30+BO33+BO36+BO39+BO48+BO51+BO54+BO57+BO60+BO63+BO66+BO81</f>
        <v>0</v>
      </c>
      <c r="BP24" s="245">
        <f>BP27+BP42+BP84+BP99+BP87+BP90+BP93+BP96+BP30+BP33+BP36+BP39+BP48+BP51+BP54+BP57+BP60+BP63+BP66+BP81</f>
        <v>0</v>
      </c>
      <c r="BQ24" s="245">
        <f>BQ27+BQ42+BQ84+BQ99+BQ87+BQ90+BQ93+BQ96+BQ30+BQ33+BQ36+BQ39+BQ48+BQ51+BQ54+BQ57+BQ60+BQ63+BQ66+BQ81</f>
        <v>0</v>
      </c>
      <c r="BR24" s="89"/>
      <c r="BS24" s="89"/>
      <c r="BT24" s="89"/>
      <c r="BW24" s="419">
        <f>SUM(AY24:BL24)</f>
        <v>-124872</v>
      </c>
      <c r="BX24" s="418">
        <f>AO24-BW24</f>
        <v>0</v>
      </c>
    </row>
    <row r="25" spans="1:76" s="327" customFormat="1" ht="27" customHeight="1" x14ac:dyDescent="0.25">
      <c r="A25" s="99"/>
      <c r="B25" s="98"/>
      <c r="C25" s="97" t="s">
        <v>6</v>
      </c>
      <c r="D25" s="97" t="s">
        <v>26</v>
      </c>
      <c r="E25" s="245">
        <f>E28+E43+E58+E85+E88+E91+E94+E97+E100</f>
        <v>175094</v>
      </c>
      <c r="F25" s="245">
        <f>F28+F43+F58+F85+F88+F91+F94+F97+F100</f>
        <v>196058.72000000003</v>
      </c>
      <c r="G25" s="417"/>
      <c r="H25" s="245"/>
      <c r="I25" s="245">
        <f>I28+I43+I58+I85+I88+I91+I94+I97+I100</f>
        <v>175094</v>
      </c>
      <c r="J25" s="245">
        <f>J28+J43+J58+J85+J88+J91+J94+J97+J100</f>
        <v>196058.72000000003</v>
      </c>
      <c r="K25" s="92"/>
      <c r="L25" s="416"/>
      <c r="M25" s="415"/>
      <c r="N25" s="520">
        <f>N28+N43+N58+N85+N88+N91+N94+N97+N100</f>
        <v>50222549.5</v>
      </c>
      <c r="O25" s="520">
        <f>O28+O43+O58+O85+O88+O91+O94+O97+O100</f>
        <v>56203441.360000007</v>
      </c>
      <c r="P25" s="520">
        <f>P28+P43+P58+P85+P88+P91+P94+P97+P100</f>
        <v>50222549.5</v>
      </c>
      <c r="Q25" s="520">
        <f>Q28+Q43+Q58+Q85+Q88+Q91+Q94+Q97+Q100</f>
        <v>56203441.360000007</v>
      </c>
      <c r="R25" s="413"/>
      <c r="S25" s="245"/>
      <c r="T25" s="245">
        <f>T28+T43+T58+T85+T88+T91+T94+T97+T100</f>
        <v>0</v>
      </c>
      <c r="U25" s="245">
        <f>U28+U43+U58+U85+U88+U91+U94+U97+U100</f>
        <v>0</v>
      </c>
      <c r="V25" s="245"/>
      <c r="W25" s="245">
        <f>W28+W43+W58+W85+W88+W91+W94+W97+W100</f>
        <v>0</v>
      </c>
      <c r="X25" s="245">
        <f>X28+X43+X58+X85+X88+X91+X94+X97+X100</f>
        <v>0</v>
      </c>
      <c r="Y25" s="245"/>
      <c r="Z25" s="245">
        <f>Z28+Z43+Z58+Z85+Z88+Z91+Z94+Z97+Z100</f>
        <v>0</v>
      </c>
      <c r="AA25" s="245">
        <f>AA28+AA43+AA58+AA85+AA88+AA91+AA94+AA97+AA100</f>
        <v>0</v>
      </c>
      <c r="AB25" s="245"/>
      <c r="AC25" s="245">
        <f>AC28+AC43+AC58+AC85+AC88+AC91+AC94+AC97+AC100</f>
        <v>0</v>
      </c>
      <c r="AD25" s="245">
        <f>AD28+AD43+AD58+AD85+AD88+AD91+AD94+AD97+AD100</f>
        <v>0</v>
      </c>
      <c r="AE25" s="245"/>
      <c r="AF25" s="245">
        <f>AF28+AF43+AF58+AF85+AF88+AF91+AF94+AF97+AF100</f>
        <v>0</v>
      </c>
      <c r="AG25" s="245">
        <f>AG28+AG43+AG58+AG85+AG88+AG91+AG94+AG97+AG100</f>
        <v>0</v>
      </c>
      <c r="AH25" s="245"/>
      <c r="AI25" s="245">
        <f>AI28+AI43+AI58+AI85+AI88+AI91+AI94+AI97+AI100</f>
        <v>175094</v>
      </c>
      <c r="AJ25" s="245">
        <f>AJ28+AJ43+AJ58+AJ85+AJ88+AJ91+AJ94+AJ97+AJ100</f>
        <v>196058.72000000003</v>
      </c>
      <c r="AK25" s="245"/>
      <c r="AL25" s="245">
        <f>AL28+AL43+AL58+AL85+AL88+AL91+AL94+AL97+AL100</f>
        <v>50222.549499999994</v>
      </c>
      <c r="AM25" s="245">
        <f>AM28+AM43+AM58+AM85+AM88+AM91+AM94+AM97+AM100</f>
        <v>56203.441359999997</v>
      </c>
      <c r="AN25" s="245"/>
      <c r="AO25" s="245">
        <f>AO28+AO43+AO58+AO85+AO88+AO91+AO94+AO97+AO100</f>
        <v>-124871.45050000001</v>
      </c>
      <c r="AP25" s="245">
        <f>AP28+AP43+AP58+AP85+AP88+AP91+AP94+AP97+AP100</f>
        <v>-139856.11864000003</v>
      </c>
      <c r="AQ25" s="245"/>
      <c r="AR25" s="412">
        <f>IF(AI25=0,"",AL25/AI25)</f>
        <v>0.28683192742184194</v>
      </c>
      <c r="AS25" s="245">
        <f>AS28+AS43+AS58+AS85+AS88+AS91+AS94+AS97+AS100</f>
        <v>0</v>
      </c>
      <c r="AT25" s="245">
        <f>AT28+AT43+AT58+AT85+AT88+AT91+AT94+AT97+AT100</f>
        <v>36227.1535</v>
      </c>
      <c r="AU25" s="245">
        <f>AU28+AU43+AU58+AU85+AU88+AU91+AU94+AU97+AU100</f>
        <v>13995.395999999999</v>
      </c>
      <c r="AV25" s="245">
        <f>AV28+AV43+AV58+AV85+AV88+AV91+AV94+AV97+AV100</f>
        <v>175094.3</v>
      </c>
      <c r="AW25" s="245">
        <f>AW28+AW43+AW58+AW85+AW88+AW91+AW94+AW97+AW100</f>
        <v>196059.86000000002</v>
      </c>
      <c r="AX25" s="245">
        <f>AX28+AX43+AX58+AX85+AX88+AX91+AX94+AX97+AX100</f>
        <v>0</v>
      </c>
      <c r="AY25" s="245">
        <f>AY28+AY43+AY58+AY85+AY88+AY91+AY94+AY97+AY100</f>
        <v>0</v>
      </c>
      <c r="AZ25" s="245">
        <f>AZ28+AZ43+AZ58+AZ85+AZ88+AZ91+AZ94+AZ97+AZ100</f>
        <v>0</v>
      </c>
      <c r="BA25" s="245">
        <f>BA28+BA43+BA58+BA85+BA88+BA91+BA94+BA97+BA100</f>
        <v>0</v>
      </c>
      <c r="BB25" s="245">
        <f>BB28+BB43+BB58+BB85+BB88+BB91+BB94+BB97+BB100</f>
        <v>0</v>
      </c>
      <c r="BC25" s="245">
        <f>BC28+BC43+BC58+BC85+BC88+BC91+BC94+BC97+BC100</f>
        <v>0</v>
      </c>
      <c r="BD25" s="245">
        <f>BD28+BD43+BD58+BD85+BD88+BD91+BD94+BD97+BD100</f>
        <v>0</v>
      </c>
      <c r="BE25" s="245">
        <f>BE28+BE43+BE58+BE85+BE88+BE91+BE94+BE97+BE100</f>
        <v>0</v>
      </c>
      <c r="BF25" s="245">
        <f>BF28+BF43+BF58+BF85+BF88+BF91+BF94+BF97+BF100</f>
        <v>0</v>
      </c>
      <c r="BG25" s="245">
        <f>BG28+BG43+BG58+BG85+BG88+BG91+BG94+BG97+BG100</f>
        <v>0</v>
      </c>
      <c r="BH25" s="245">
        <f>BH28+BH43+BH58+BH85+BH88+BH91+BH94+BH97+BH100</f>
        <v>0</v>
      </c>
      <c r="BI25" s="245">
        <f>BI28+BI43+BI58+BI85+BI88+BI91+BI94+BI97+BI100</f>
        <v>0</v>
      </c>
      <c r="BJ25" s="245">
        <f>BJ28+BJ43+BJ58+BJ85+BJ88+BJ91+BJ94+BJ97+BJ100</f>
        <v>0</v>
      </c>
      <c r="BK25" s="245">
        <f>BK28+BK43+BK58+BK85+BK88+BK91+BK94+BK97+BK100</f>
        <v>0</v>
      </c>
      <c r="BL25" s="245">
        <f>BL28+BL43+BL58+BL85+BL88+BL91+BL94+BL97+BL100</f>
        <v>0</v>
      </c>
      <c r="BM25" s="245"/>
      <c r="BN25" s="245">
        <f>BN26</f>
        <v>0</v>
      </c>
      <c r="BO25" s="245">
        <f>BO26</f>
        <v>0</v>
      </c>
      <c r="BP25" s="245">
        <f>BP26</f>
        <v>0</v>
      </c>
      <c r="BQ25" s="245">
        <f>BQ26</f>
        <v>0</v>
      </c>
      <c r="BR25" s="89"/>
      <c r="BS25" s="89"/>
      <c r="BT25" s="89"/>
      <c r="BW25" s="329"/>
      <c r="BX25" s="328"/>
    </row>
    <row r="26" spans="1:76" s="393" customFormat="1" ht="27" customHeight="1" x14ac:dyDescent="0.25">
      <c r="A26" s="99"/>
      <c r="B26" s="98"/>
      <c r="C26" s="408" t="s">
        <v>6</v>
      </c>
      <c r="D26" s="408" t="s">
        <v>5</v>
      </c>
      <c r="E26" s="397">
        <f>E29+E44+E59+E86+E89+E92+E95+E98+E101</f>
        <v>175094</v>
      </c>
      <c r="F26" s="397">
        <f>F29+F44+F59+F86+F89+F92+F95+F98+F101</f>
        <v>196058.72000000003</v>
      </c>
      <c r="G26" s="407"/>
      <c r="H26" s="397"/>
      <c r="I26" s="397">
        <f>I29+I44+I59+I86+I89+I92+I95+I98+I101</f>
        <v>175094</v>
      </c>
      <c r="J26" s="397">
        <f>J29+J44+J59+J86+J89+J92+J95+J98+J101</f>
        <v>196058.72000000003</v>
      </c>
      <c r="K26" s="406"/>
      <c r="L26" s="405"/>
      <c r="M26" s="404"/>
      <c r="N26" s="519">
        <f>N29+N44+N59+N86+N89+N92+N95+N98+N101</f>
        <v>50222549.5</v>
      </c>
      <c r="O26" s="519">
        <f>O29+O44+O59+O86+O89+O92+O95+O98+O101</f>
        <v>56203441.360000007</v>
      </c>
      <c r="P26" s="519">
        <f>P29+P44+P59+P86+P89+P92+P95+P98+P101</f>
        <v>50222549.5</v>
      </c>
      <c r="Q26" s="519">
        <f>Q29+Q44+Q59+Q86+Q89+Q92+Q95+Q98+Q101</f>
        <v>56203441.360000007</v>
      </c>
      <c r="R26" s="402"/>
      <c r="S26" s="397"/>
      <c r="T26" s="397">
        <f>T29+T44+T59+T86+T89+T92+T95+T98+T101</f>
        <v>0</v>
      </c>
      <c r="U26" s="397">
        <f>U29+U44+U59+U86+U89+U92+U95+U98+U101</f>
        <v>0</v>
      </c>
      <c r="V26" s="397"/>
      <c r="W26" s="397">
        <f>W29+W44+W59+W86+W89+W92+W95+W98+W101</f>
        <v>0</v>
      </c>
      <c r="X26" s="397">
        <f>X29+X44+X59+X86+X89+X92+X95+X98+X101</f>
        <v>0</v>
      </c>
      <c r="Y26" s="397"/>
      <c r="Z26" s="397">
        <f>Z29+Z44+Z59+Z86+Z89+Z92+Z95+Z98+Z101</f>
        <v>0</v>
      </c>
      <c r="AA26" s="397">
        <f>AA29+AA44+AA59+AA86+AA89+AA92+AA95+AA98+AA101</f>
        <v>0</v>
      </c>
      <c r="AB26" s="397"/>
      <c r="AC26" s="397">
        <f>AC29+AC44+AC59+AC86+AC89+AC92+AC95+AC98+AC101</f>
        <v>0</v>
      </c>
      <c r="AD26" s="397">
        <f>AD29+AD44+AD59+AD86+AD89+AD92+AD95+AD98+AD101</f>
        <v>0</v>
      </c>
      <c r="AE26" s="397"/>
      <c r="AF26" s="397">
        <f>AF29+AF44+AF59+AF86+AF89+AF92+AF95+AF98+AF101</f>
        <v>0</v>
      </c>
      <c r="AG26" s="397">
        <f>AG29+AG44+AG59+AG86+AG89+AG92+AG95+AG98+AG101</f>
        <v>0</v>
      </c>
      <c r="AH26" s="397"/>
      <c r="AI26" s="397">
        <f>AI29+AI44+AI59+AI86+AI89+AI92+AI95+AI98+AI101</f>
        <v>175094</v>
      </c>
      <c r="AJ26" s="397">
        <f>AJ29+AJ44+AJ59+AJ86+AJ89+AJ92+AJ95+AJ98+AJ101</f>
        <v>196058.72000000003</v>
      </c>
      <c r="AK26" s="397"/>
      <c r="AL26" s="397">
        <f>AL29+AL44+AL59+AL86+AL89+AL92+AL95+AL98+AL101</f>
        <v>50222.549499999994</v>
      </c>
      <c r="AM26" s="397">
        <f>AM29+AM44+AM59+AM86+AM89+AM92+AM95+AM98+AM101</f>
        <v>56203.441359999997</v>
      </c>
      <c r="AN26" s="397"/>
      <c r="AO26" s="397">
        <f>AO29+AO44+AO59+AO86+AO89+AO92+AO95+AO98+AO101</f>
        <v>-124871.45050000001</v>
      </c>
      <c r="AP26" s="397">
        <f>AP29+AP44+AP59+AP86+AP89+AP92+AP95+AP98+AP101</f>
        <v>-139856.11864000003</v>
      </c>
      <c r="AQ26" s="397"/>
      <c r="AR26" s="400">
        <f>IF(AI26=0,"",AL26/AI26)</f>
        <v>0.28683192742184194</v>
      </c>
      <c r="AS26" s="397">
        <f>AS29+AS44+AS59+AS86+AS89+AS92+AS95+AS98+AS101</f>
        <v>0</v>
      </c>
      <c r="AT26" s="397">
        <f>AT29+AT44+AT59+AT86+AT89+AT92+AT95+AT98+AT101</f>
        <v>36227.1535</v>
      </c>
      <c r="AU26" s="397">
        <f>AU29+AU44+AU59+AU86+AU89+AU92+AU95+AU98+AU101</f>
        <v>13995.395999999999</v>
      </c>
      <c r="AV26" s="397">
        <f>AV29+AV44+AV59+AV86+AV89+AV92+AV95+AV98+AV101</f>
        <v>175094.3</v>
      </c>
      <c r="AW26" s="397">
        <f>AW29+AW44+AW59+AW86+AW89+AW92+AW95+AW98+AW101</f>
        <v>196059.86000000002</v>
      </c>
      <c r="AX26" s="397">
        <f>AX29+AX44+AX59+AX86+AX89+AX92+AX95+AX98+AX101</f>
        <v>0</v>
      </c>
      <c r="AY26" s="397">
        <f>AY29+AY44+AY59+AY86+AY89+AY92+AY95+AY98+AY101</f>
        <v>0</v>
      </c>
      <c r="AZ26" s="397">
        <f>AZ29+AZ44+AZ59+AZ86+AZ89+AZ92+AZ95+AZ98+AZ101</f>
        <v>0</v>
      </c>
      <c r="BA26" s="397">
        <f>BA29+BA44+BA59+BA86+BA89+BA92+BA95+BA98+BA101</f>
        <v>0</v>
      </c>
      <c r="BB26" s="397">
        <f>BB29+BB44+BB59+BB86+BB89+BB92+BB95+BB98+BB101</f>
        <v>0</v>
      </c>
      <c r="BC26" s="397">
        <f>BC29+BC44+BC59+BC86+BC89+BC92+BC95+BC98+BC101</f>
        <v>0</v>
      </c>
      <c r="BD26" s="397">
        <f>BD29+BD44+BD59+BD86+BD89+BD92+BD95+BD98+BD101</f>
        <v>0</v>
      </c>
      <c r="BE26" s="397">
        <f>BE29+BE44+BE59+BE86+BE89+BE92+BE95+BE98+BE101</f>
        <v>0</v>
      </c>
      <c r="BF26" s="397">
        <f>BF29+BF44+BF59+BF86+BF89+BF92+BF95+BF98+BF101</f>
        <v>0</v>
      </c>
      <c r="BG26" s="397">
        <f>BG29+BG44+BG59+BG86+BG89+BG92+BG95+BG98+BG101</f>
        <v>0</v>
      </c>
      <c r="BH26" s="397">
        <f>BH29+BH44+BH59+BH86+BH89+BH92+BH95+BH98+BH101</f>
        <v>0</v>
      </c>
      <c r="BI26" s="397">
        <f>BI29+BI44+BI59+BI86+BI89+BI92+BI95+BI98+BI101</f>
        <v>0</v>
      </c>
      <c r="BJ26" s="397">
        <f>BJ29+BJ44+BJ59+BJ86+BJ89+BJ92+BJ95+BJ98+BJ101</f>
        <v>0</v>
      </c>
      <c r="BK26" s="397">
        <f>BK29+BK44+BK59+BK86+BK89+BK92+BK95+BK98+BK101</f>
        <v>0</v>
      </c>
      <c r="BL26" s="397">
        <f>BL29+BL44+BL59+BL86+BL89+BL92+BL95+BL98+BL101</f>
        <v>0</v>
      </c>
      <c r="BM26" s="397"/>
      <c r="BN26" s="397">
        <f>BN29+BN44+BN86+BN101+BN102+BN89+BN92+BN95+BN98+BN32+BN35+BN38+BN41+BN50+BN53+BN56+BN59+BN62+BN65+BN68+BN83</f>
        <v>0</v>
      </c>
      <c r="BO26" s="397">
        <f>BO29+BO44+BO86+BO101+BO102+BO89+BO92+BO95+BO98+BO32+BO35+BO38+BO41+BO50+BO53+BO56+BO59+BO62+BO65+BO68+BO83</f>
        <v>0</v>
      </c>
      <c r="BP26" s="397">
        <f>BP29+BP44+BP86+BP101+BP102+BP89+BP92+BP95+BP98+BP32+BP35+BP38+BP41+BP50+BP53+BP56+BP59+BP62+BP65+BP68+BP83</f>
        <v>0</v>
      </c>
      <c r="BQ26" s="397">
        <f>BQ29+BQ44+BQ86+BQ101+BQ102+BQ89+BQ92+BQ95+BQ98+BQ32+BQ35+BQ38+BQ41+BQ50+BQ53+BQ56+BQ59+BQ62+BQ65+BQ68+BQ83</f>
        <v>0</v>
      </c>
      <c r="BR26" s="396"/>
      <c r="BS26" s="396"/>
      <c r="BT26" s="396"/>
      <c r="BW26" s="395"/>
      <c r="BX26" s="394"/>
    </row>
    <row r="27" spans="1:76" s="327" customFormat="1" ht="12.75" customHeight="1" x14ac:dyDescent="0.25">
      <c r="A27" s="442"/>
      <c r="B27" s="73" t="s">
        <v>161</v>
      </c>
      <c r="C27" s="70" t="s">
        <v>9</v>
      </c>
      <c r="D27" s="70" t="s">
        <v>8</v>
      </c>
      <c r="E27" s="64">
        <f>I27</f>
        <v>123457</v>
      </c>
      <c r="F27" s="117">
        <f>E27*1.12</f>
        <v>138271.84000000003</v>
      </c>
      <c r="G27" s="441">
        <v>1818</v>
      </c>
      <c r="H27" s="437"/>
      <c r="I27" s="117">
        <v>123457</v>
      </c>
      <c r="J27" s="117">
        <f>I27*1.12</f>
        <v>138271.84000000003</v>
      </c>
      <c r="K27" s="440"/>
      <c r="L27" s="73"/>
      <c r="M27" s="439"/>
      <c r="N27" s="332">
        <f>O27/1.12</f>
        <v>0</v>
      </c>
      <c r="O27" s="332"/>
      <c r="P27" s="332">
        <f>N27</f>
        <v>0</v>
      </c>
      <c r="Q27" s="332">
        <f>O27</f>
        <v>0</v>
      </c>
      <c r="R27" s="438"/>
      <c r="S27" s="437"/>
      <c r="T27" s="312"/>
      <c r="U27" s="312"/>
      <c r="V27" s="312"/>
      <c r="W27" s="312"/>
      <c r="X27" s="312"/>
      <c r="Y27" s="312"/>
      <c r="Z27" s="117"/>
      <c r="AA27" s="117"/>
      <c r="AB27" s="117"/>
      <c r="AC27" s="117"/>
      <c r="AD27" s="117"/>
      <c r="AE27" s="117"/>
      <c r="AF27" s="117">
        <f>Z27+AC27+W27+T27</f>
        <v>0</v>
      </c>
      <c r="AG27" s="117">
        <f>AA27+AD27+X27+U27</f>
        <v>0</v>
      </c>
      <c r="AH27" s="117"/>
      <c r="AI27" s="117">
        <v>123457</v>
      </c>
      <c r="AJ27" s="117">
        <f>AI27*1.12</f>
        <v>138271.84000000003</v>
      </c>
      <c r="AK27" s="117"/>
      <c r="AL27" s="117"/>
      <c r="AM27" s="64">
        <f>AL27*1.12</f>
        <v>0</v>
      </c>
      <c r="AN27" s="117"/>
      <c r="AO27" s="64">
        <f>AL27-AI27</f>
        <v>-123457</v>
      </c>
      <c r="AP27" s="64">
        <f>AM27-AJ27</f>
        <v>-138271.84000000003</v>
      </c>
      <c r="AQ27" s="64"/>
      <c r="AR27" s="43">
        <f>IF(AI27=0,"",AL27/AI27)</f>
        <v>0</v>
      </c>
      <c r="AS27" s="115"/>
      <c r="AT27" s="115"/>
      <c r="AU27" s="115"/>
      <c r="AV27" s="64">
        <f>I27</f>
        <v>123457</v>
      </c>
      <c r="AW27" s="64">
        <f>AV27</f>
        <v>123457</v>
      </c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>
        <f>AL27-AI27</f>
        <v>-123457</v>
      </c>
      <c r="BM27" s="61" t="s">
        <v>124</v>
      </c>
      <c r="BN27" s="138"/>
      <c r="BO27" s="138"/>
      <c r="BP27" s="138"/>
      <c r="BQ27" s="138"/>
      <c r="BR27" s="138"/>
      <c r="BS27" s="138"/>
      <c r="BT27" s="138"/>
      <c r="BW27" s="329"/>
      <c r="BX27" s="328"/>
    </row>
    <row r="28" spans="1:76" s="327" customFormat="1" x14ac:dyDescent="0.25">
      <c r="A28" s="436"/>
      <c r="B28" s="191"/>
      <c r="C28" s="70" t="s">
        <v>6</v>
      </c>
      <c r="D28" s="70" t="s">
        <v>26</v>
      </c>
      <c r="E28" s="64">
        <f>I28</f>
        <v>123457</v>
      </c>
      <c r="F28" s="117">
        <f>E28*1.12</f>
        <v>138271.84000000003</v>
      </c>
      <c r="G28" s="435"/>
      <c r="H28" s="431"/>
      <c r="I28" s="117">
        <v>123457</v>
      </c>
      <c r="J28" s="117">
        <f>I28*1.12</f>
        <v>138271.84000000003</v>
      </c>
      <c r="K28" s="434"/>
      <c r="L28" s="191"/>
      <c r="M28" s="433"/>
      <c r="N28" s="332">
        <f>N27</f>
        <v>0</v>
      </c>
      <c r="O28" s="332">
        <f>O27</f>
        <v>0</v>
      </c>
      <c r="P28" s="332">
        <f>N28</f>
        <v>0</v>
      </c>
      <c r="Q28" s="332">
        <f>O28</f>
        <v>0</v>
      </c>
      <c r="R28" s="432"/>
      <c r="S28" s="431"/>
      <c r="T28" s="312"/>
      <c r="U28" s="312"/>
      <c r="V28" s="312"/>
      <c r="W28" s="312"/>
      <c r="X28" s="312"/>
      <c r="Y28" s="312"/>
      <c r="Z28" s="117"/>
      <c r="AA28" s="117"/>
      <c r="AB28" s="117"/>
      <c r="AC28" s="117"/>
      <c r="AD28" s="117"/>
      <c r="AE28" s="117"/>
      <c r="AF28" s="117">
        <f>Z28+AC28+W28+T28</f>
        <v>0</v>
      </c>
      <c r="AG28" s="117">
        <f>AA28+AD28+X28+U28</f>
        <v>0</v>
      </c>
      <c r="AH28" s="117"/>
      <c r="AI28" s="117">
        <v>123457</v>
      </c>
      <c r="AJ28" s="117">
        <f>AI28*1.12</f>
        <v>138271.84000000003</v>
      </c>
      <c r="AK28" s="117"/>
      <c r="AL28" s="117"/>
      <c r="AM28" s="64">
        <f>AL28*1.12</f>
        <v>0</v>
      </c>
      <c r="AN28" s="117"/>
      <c r="AO28" s="64">
        <f>AL28-AI28</f>
        <v>-123457</v>
      </c>
      <c r="AP28" s="64">
        <f>AM28-AJ28</f>
        <v>-138271.84000000003</v>
      </c>
      <c r="AQ28" s="64"/>
      <c r="AR28" s="43">
        <f>IF(AI28=0,"",AL28/AI28)</f>
        <v>0</v>
      </c>
      <c r="AS28" s="115"/>
      <c r="AT28" s="115"/>
      <c r="AU28" s="115"/>
      <c r="AV28" s="64">
        <f>I28</f>
        <v>123457</v>
      </c>
      <c r="AW28" s="64">
        <f>AV28*1.12</f>
        <v>138271.84000000003</v>
      </c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428"/>
      <c r="BN28" s="138"/>
      <c r="BO28" s="138"/>
      <c r="BP28" s="138"/>
      <c r="BQ28" s="138"/>
      <c r="BR28" s="138"/>
      <c r="BS28" s="138"/>
      <c r="BT28" s="138"/>
      <c r="BW28" s="329"/>
      <c r="BX28" s="328"/>
    </row>
    <row r="29" spans="1:76" s="320" customFormat="1" x14ac:dyDescent="0.25">
      <c r="A29" s="436"/>
      <c r="B29" s="191"/>
      <c r="C29" s="53" t="s">
        <v>6</v>
      </c>
      <c r="D29" s="53" t="s">
        <v>5</v>
      </c>
      <c r="E29" s="44">
        <f>I29</f>
        <v>123457</v>
      </c>
      <c r="F29" s="103">
        <f>E29*1.12</f>
        <v>138271.84000000003</v>
      </c>
      <c r="G29" s="426"/>
      <c r="H29" s="422"/>
      <c r="I29" s="103">
        <f>I28</f>
        <v>123457</v>
      </c>
      <c r="J29" s="103">
        <f>I29*1.12</f>
        <v>138271.84000000003</v>
      </c>
      <c r="K29" s="425"/>
      <c r="L29" s="56"/>
      <c r="M29" s="424"/>
      <c r="N29" s="325">
        <f>N28</f>
        <v>0</v>
      </c>
      <c r="O29" s="325">
        <f>O28</f>
        <v>0</v>
      </c>
      <c r="P29" s="325">
        <f>N29</f>
        <v>0</v>
      </c>
      <c r="Q29" s="325">
        <f>O29</f>
        <v>0</v>
      </c>
      <c r="R29" s="423"/>
      <c r="S29" s="422"/>
      <c r="T29" s="312"/>
      <c r="U29" s="312"/>
      <c r="V29" s="312"/>
      <c r="W29" s="312"/>
      <c r="X29" s="312"/>
      <c r="Y29" s="312"/>
      <c r="Z29" s="103"/>
      <c r="AA29" s="103"/>
      <c r="AB29" s="103"/>
      <c r="AC29" s="103"/>
      <c r="AD29" s="103"/>
      <c r="AE29" s="103"/>
      <c r="AF29" s="103">
        <f>Z29+AC29+W29+T29</f>
        <v>0</v>
      </c>
      <c r="AG29" s="103">
        <f>AA29+AD29+X29+U29</f>
        <v>0</v>
      </c>
      <c r="AH29" s="103"/>
      <c r="AI29" s="103">
        <f>AI28</f>
        <v>123457</v>
      </c>
      <c r="AJ29" s="103">
        <f>AI29*1.12</f>
        <v>138271.84000000003</v>
      </c>
      <c r="AK29" s="103"/>
      <c r="AL29" s="103"/>
      <c r="AM29" s="44">
        <f>AL29*1.12</f>
        <v>0</v>
      </c>
      <c r="AN29" s="103"/>
      <c r="AO29" s="44">
        <f>AL29-AI29</f>
        <v>-123457</v>
      </c>
      <c r="AP29" s="44">
        <f>AM29-AJ29</f>
        <v>-138271.84000000003</v>
      </c>
      <c r="AQ29" s="44"/>
      <c r="AR29" s="324">
        <f>IF(AI29=0,"",AL29/AI29)</f>
        <v>0</v>
      </c>
      <c r="AS29" s="101"/>
      <c r="AT29" s="101"/>
      <c r="AU29" s="101"/>
      <c r="AV29" s="44">
        <f>AV28</f>
        <v>123457</v>
      </c>
      <c r="AW29" s="44">
        <f>AV29*1.12</f>
        <v>138271.84000000003</v>
      </c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0"/>
      <c r="BN29" s="131"/>
      <c r="BO29" s="131"/>
      <c r="BP29" s="131"/>
      <c r="BQ29" s="131"/>
      <c r="BR29" s="131"/>
      <c r="BS29" s="131"/>
      <c r="BT29" s="131"/>
      <c r="BW29" s="322"/>
      <c r="BX29" s="321"/>
    </row>
    <row r="30" spans="1:76" s="320" customFormat="1" hidden="1" outlineLevel="1" x14ac:dyDescent="0.25">
      <c r="A30" s="436"/>
      <c r="B30" s="191"/>
      <c r="C30" s="70" t="s">
        <v>9</v>
      </c>
      <c r="D30" s="70" t="s">
        <v>8</v>
      </c>
      <c r="E30" s="64"/>
      <c r="F30" s="117"/>
      <c r="G30" s="441"/>
      <c r="H30" s="437"/>
      <c r="I30" s="117"/>
      <c r="J30" s="117"/>
      <c r="K30" s="440"/>
      <c r="L30" s="73"/>
      <c r="M30" s="439"/>
      <c r="N30" s="332">
        <f>O30/1.12</f>
        <v>0</v>
      </c>
      <c r="O30" s="332"/>
      <c r="P30" s="332">
        <f>N30</f>
        <v>0</v>
      </c>
      <c r="Q30" s="332">
        <f>O30</f>
        <v>0</v>
      </c>
      <c r="R30" s="438"/>
      <c r="S30" s="437"/>
      <c r="T30" s="312"/>
      <c r="U30" s="312"/>
      <c r="V30" s="312"/>
      <c r="W30" s="312"/>
      <c r="X30" s="312"/>
      <c r="Y30" s="312"/>
      <c r="Z30" s="117"/>
      <c r="AA30" s="117"/>
      <c r="AB30" s="117"/>
      <c r="AC30" s="117"/>
      <c r="AD30" s="117"/>
      <c r="AE30" s="117"/>
      <c r="AF30" s="117">
        <f>Z30+AC30+W30+T30</f>
        <v>0</v>
      </c>
      <c r="AG30" s="117">
        <f>AA30+AD30+X30+U30</f>
        <v>0</v>
      </c>
      <c r="AH30" s="117"/>
      <c r="AI30" s="117"/>
      <c r="AJ30" s="117">
        <f>AI30*1.12</f>
        <v>0</v>
      </c>
      <c r="AK30" s="117"/>
      <c r="AL30" s="117"/>
      <c r="AM30" s="64">
        <f>AL30*1.12</f>
        <v>0</v>
      </c>
      <c r="AN30" s="117"/>
      <c r="AO30" s="64">
        <f>AL30-AI30</f>
        <v>0</v>
      </c>
      <c r="AP30" s="64">
        <f>AM30-AJ30</f>
        <v>0</v>
      </c>
      <c r="AQ30" s="64"/>
      <c r="AR30" s="43" t="str">
        <f>IF(AI30=0,"",AL30/AI30)</f>
        <v/>
      </c>
      <c r="AS30" s="115"/>
      <c r="AT30" s="115"/>
      <c r="AU30" s="115"/>
      <c r="AV30" s="64"/>
      <c r="AW30" s="64">
        <f>AV30</f>
        <v>0</v>
      </c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1" t="s">
        <v>124</v>
      </c>
      <c r="BN30" s="138"/>
      <c r="BO30" s="138"/>
      <c r="BP30" s="138"/>
      <c r="BQ30" s="138"/>
      <c r="BR30" s="138"/>
      <c r="BS30" s="138"/>
      <c r="BT30" s="138"/>
      <c r="BU30" s="327"/>
      <c r="BV30" s="327"/>
      <c r="BW30" s="329"/>
      <c r="BX30" s="328"/>
    </row>
    <row r="31" spans="1:76" s="320" customFormat="1" hidden="1" outlineLevel="1" x14ac:dyDescent="0.25">
      <c r="A31" s="436"/>
      <c r="B31" s="191"/>
      <c r="C31" s="70" t="s">
        <v>6</v>
      </c>
      <c r="D31" s="70" t="s">
        <v>26</v>
      </c>
      <c r="E31" s="64"/>
      <c r="F31" s="117"/>
      <c r="G31" s="435"/>
      <c r="H31" s="431"/>
      <c r="I31" s="117"/>
      <c r="J31" s="117"/>
      <c r="K31" s="434"/>
      <c r="L31" s="191"/>
      <c r="M31" s="433"/>
      <c r="N31" s="332">
        <f>N30</f>
        <v>0</v>
      </c>
      <c r="O31" s="332">
        <f>O30</f>
        <v>0</v>
      </c>
      <c r="P31" s="332">
        <f>N31</f>
        <v>0</v>
      </c>
      <c r="Q31" s="332">
        <f>O31</f>
        <v>0</v>
      </c>
      <c r="R31" s="432"/>
      <c r="S31" s="431"/>
      <c r="T31" s="312"/>
      <c r="U31" s="312"/>
      <c r="V31" s="312"/>
      <c r="W31" s="312"/>
      <c r="X31" s="312"/>
      <c r="Y31" s="312"/>
      <c r="Z31" s="117"/>
      <c r="AA31" s="117"/>
      <c r="AB31" s="117"/>
      <c r="AC31" s="117"/>
      <c r="AD31" s="117"/>
      <c r="AE31" s="117"/>
      <c r="AF31" s="117">
        <f>Z31+AC31+W31+T31</f>
        <v>0</v>
      </c>
      <c r="AG31" s="117">
        <f>AA31+AD31+X31+U31</f>
        <v>0</v>
      </c>
      <c r="AH31" s="117"/>
      <c r="AI31" s="117"/>
      <c r="AJ31" s="117">
        <f>AI31*1.12</f>
        <v>0</v>
      </c>
      <c r="AK31" s="117"/>
      <c r="AL31" s="117"/>
      <c r="AM31" s="64">
        <f>AL31*1.12</f>
        <v>0</v>
      </c>
      <c r="AN31" s="117"/>
      <c r="AO31" s="64">
        <f>AL31-AI31</f>
        <v>0</v>
      </c>
      <c r="AP31" s="64">
        <f>AM31-AJ31</f>
        <v>0</v>
      </c>
      <c r="AQ31" s="64"/>
      <c r="AR31" s="43" t="str">
        <f>IF(AI31=0,"",AL31/AI31)</f>
        <v/>
      </c>
      <c r="AS31" s="115"/>
      <c r="AT31" s="115"/>
      <c r="AU31" s="115"/>
      <c r="AV31" s="64">
        <f>AV30</f>
        <v>0</v>
      </c>
      <c r="AW31" s="64">
        <f>AV31*1.12</f>
        <v>0</v>
      </c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428"/>
      <c r="BN31" s="138"/>
      <c r="BO31" s="138"/>
      <c r="BP31" s="138"/>
      <c r="BQ31" s="138"/>
      <c r="BR31" s="138"/>
      <c r="BS31" s="138"/>
      <c r="BT31" s="138"/>
      <c r="BU31" s="327"/>
      <c r="BV31" s="327"/>
      <c r="BW31" s="329"/>
      <c r="BX31" s="328"/>
    </row>
    <row r="32" spans="1:76" s="320" customFormat="1" hidden="1" outlineLevel="1" x14ac:dyDescent="0.25">
      <c r="A32" s="436"/>
      <c r="B32" s="191"/>
      <c r="C32" s="53" t="s">
        <v>6</v>
      </c>
      <c r="D32" s="53" t="s">
        <v>5</v>
      </c>
      <c r="E32" s="44"/>
      <c r="F32" s="103"/>
      <c r="G32" s="426"/>
      <c r="H32" s="422"/>
      <c r="I32" s="103"/>
      <c r="J32" s="103"/>
      <c r="K32" s="425"/>
      <c r="L32" s="56"/>
      <c r="M32" s="424"/>
      <c r="N32" s="325">
        <f>N31</f>
        <v>0</v>
      </c>
      <c r="O32" s="325">
        <f>O31</f>
        <v>0</v>
      </c>
      <c r="P32" s="325">
        <f>N32</f>
        <v>0</v>
      </c>
      <c r="Q32" s="325">
        <f>O32</f>
        <v>0</v>
      </c>
      <c r="R32" s="423"/>
      <c r="S32" s="422"/>
      <c r="T32" s="312"/>
      <c r="U32" s="312"/>
      <c r="V32" s="312"/>
      <c r="W32" s="312"/>
      <c r="X32" s="312"/>
      <c r="Y32" s="312"/>
      <c r="Z32" s="103"/>
      <c r="AA32" s="103"/>
      <c r="AB32" s="103"/>
      <c r="AC32" s="103"/>
      <c r="AD32" s="103"/>
      <c r="AE32" s="103"/>
      <c r="AF32" s="103">
        <f>Z32+AC32+W32+T32</f>
        <v>0</v>
      </c>
      <c r="AG32" s="103">
        <f>AA32+AD32+X32+U32</f>
        <v>0</v>
      </c>
      <c r="AH32" s="103"/>
      <c r="AI32" s="103"/>
      <c r="AJ32" s="103">
        <f>AI32*1.12</f>
        <v>0</v>
      </c>
      <c r="AK32" s="103"/>
      <c r="AL32" s="103"/>
      <c r="AM32" s="44">
        <f>AL32*1.12</f>
        <v>0</v>
      </c>
      <c r="AN32" s="103"/>
      <c r="AO32" s="44">
        <f>AL32-AI32</f>
        <v>0</v>
      </c>
      <c r="AP32" s="44">
        <f>AM32-AJ32</f>
        <v>0</v>
      </c>
      <c r="AQ32" s="44"/>
      <c r="AR32" s="324" t="str">
        <f>IF(AI32=0,"",AL32/AI32)</f>
        <v/>
      </c>
      <c r="AS32" s="101"/>
      <c r="AT32" s="101"/>
      <c r="AU32" s="101"/>
      <c r="AV32" s="44">
        <f>AV31</f>
        <v>0</v>
      </c>
      <c r="AW32" s="44">
        <f>AV32*1.12</f>
        <v>0</v>
      </c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0"/>
      <c r="BN32" s="131"/>
      <c r="BO32" s="131"/>
      <c r="BP32" s="131"/>
      <c r="BQ32" s="131"/>
      <c r="BR32" s="131"/>
      <c r="BS32" s="131"/>
      <c r="BT32" s="131"/>
      <c r="BW32" s="322"/>
      <c r="BX32" s="321"/>
    </row>
    <row r="33" spans="1:76" s="320" customFormat="1" hidden="1" outlineLevel="1" x14ac:dyDescent="0.25">
      <c r="A33" s="436"/>
      <c r="B33" s="191"/>
      <c r="C33" s="70" t="s">
        <v>9</v>
      </c>
      <c r="D33" s="70" t="s">
        <v>8</v>
      </c>
      <c r="E33" s="64"/>
      <c r="F33" s="117"/>
      <c r="G33" s="441"/>
      <c r="H33" s="437"/>
      <c r="I33" s="117"/>
      <c r="J33" s="117"/>
      <c r="K33" s="440"/>
      <c r="L33" s="73"/>
      <c r="M33" s="439"/>
      <c r="N33" s="332">
        <f>O33/1.12</f>
        <v>0</v>
      </c>
      <c r="O33" s="332"/>
      <c r="P33" s="332">
        <f>N33</f>
        <v>0</v>
      </c>
      <c r="Q33" s="332">
        <f>O33</f>
        <v>0</v>
      </c>
      <c r="R33" s="438"/>
      <c r="S33" s="437"/>
      <c r="T33" s="312"/>
      <c r="U33" s="312"/>
      <c r="V33" s="312"/>
      <c r="W33" s="312"/>
      <c r="X33" s="312"/>
      <c r="Y33" s="312"/>
      <c r="Z33" s="117"/>
      <c r="AA33" s="117"/>
      <c r="AB33" s="117"/>
      <c r="AC33" s="117"/>
      <c r="AD33" s="117"/>
      <c r="AE33" s="117"/>
      <c r="AF33" s="117">
        <f>Z33+AC33+W33+T33</f>
        <v>0</v>
      </c>
      <c r="AG33" s="117">
        <f>AA33+AD33+X33+U33</f>
        <v>0</v>
      </c>
      <c r="AH33" s="117"/>
      <c r="AI33" s="117"/>
      <c r="AJ33" s="117">
        <f>AI33*1.12</f>
        <v>0</v>
      </c>
      <c r="AK33" s="117"/>
      <c r="AL33" s="117"/>
      <c r="AM33" s="64">
        <f>AL33*1.12</f>
        <v>0</v>
      </c>
      <c r="AN33" s="117"/>
      <c r="AO33" s="64">
        <f>AL33-AI33</f>
        <v>0</v>
      </c>
      <c r="AP33" s="64">
        <f>AM33-AJ33</f>
        <v>0</v>
      </c>
      <c r="AQ33" s="64"/>
      <c r="AR33" s="43" t="str">
        <f>IF(AI33=0,"",AL33/AI33)</f>
        <v/>
      </c>
      <c r="AS33" s="115"/>
      <c r="AT33" s="115"/>
      <c r="AU33" s="115"/>
      <c r="AV33" s="64"/>
      <c r="AW33" s="64">
        <f>AV33</f>
        <v>0</v>
      </c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1" t="s">
        <v>124</v>
      </c>
      <c r="BN33" s="138"/>
      <c r="BO33" s="138"/>
      <c r="BP33" s="138"/>
      <c r="BQ33" s="138"/>
      <c r="BR33" s="138"/>
      <c r="BS33" s="138"/>
      <c r="BT33" s="138"/>
      <c r="BU33" s="327"/>
      <c r="BV33" s="327"/>
      <c r="BW33" s="329"/>
      <c r="BX33" s="328"/>
    </row>
    <row r="34" spans="1:76" s="320" customFormat="1" hidden="1" outlineLevel="1" x14ac:dyDescent="0.25">
      <c r="A34" s="436"/>
      <c r="B34" s="191"/>
      <c r="C34" s="70" t="s">
        <v>6</v>
      </c>
      <c r="D34" s="70" t="s">
        <v>26</v>
      </c>
      <c r="E34" s="64"/>
      <c r="F34" s="117"/>
      <c r="G34" s="435"/>
      <c r="H34" s="431"/>
      <c r="I34" s="117"/>
      <c r="J34" s="117"/>
      <c r="K34" s="434"/>
      <c r="L34" s="191"/>
      <c r="M34" s="433"/>
      <c r="N34" s="332">
        <f>N33</f>
        <v>0</v>
      </c>
      <c r="O34" s="332">
        <f>O33</f>
        <v>0</v>
      </c>
      <c r="P34" s="332">
        <f>N34</f>
        <v>0</v>
      </c>
      <c r="Q34" s="332">
        <f>O34</f>
        <v>0</v>
      </c>
      <c r="R34" s="432"/>
      <c r="S34" s="431"/>
      <c r="T34" s="312"/>
      <c r="U34" s="312"/>
      <c r="V34" s="312"/>
      <c r="W34" s="312"/>
      <c r="X34" s="312"/>
      <c r="Y34" s="312"/>
      <c r="Z34" s="117"/>
      <c r="AA34" s="117"/>
      <c r="AB34" s="117"/>
      <c r="AC34" s="117"/>
      <c r="AD34" s="117"/>
      <c r="AE34" s="117"/>
      <c r="AF34" s="117">
        <f>Z34+AC34+W34+T34</f>
        <v>0</v>
      </c>
      <c r="AG34" s="117">
        <f>AA34+AD34+X34+U34</f>
        <v>0</v>
      </c>
      <c r="AH34" s="117"/>
      <c r="AI34" s="117"/>
      <c r="AJ34" s="117">
        <f>AI34*1.12</f>
        <v>0</v>
      </c>
      <c r="AK34" s="117"/>
      <c r="AL34" s="117"/>
      <c r="AM34" s="64">
        <f>AL34*1.12</f>
        <v>0</v>
      </c>
      <c r="AN34" s="117"/>
      <c r="AO34" s="64">
        <f>AL34-AI34</f>
        <v>0</v>
      </c>
      <c r="AP34" s="64">
        <f>AM34-AJ34</f>
        <v>0</v>
      </c>
      <c r="AQ34" s="64"/>
      <c r="AR34" s="43" t="str">
        <f>IF(AI34=0,"",AL34/AI34)</f>
        <v/>
      </c>
      <c r="AS34" s="115"/>
      <c r="AT34" s="115"/>
      <c r="AU34" s="115"/>
      <c r="AV34" s="64">
        <f>AV33</f>
        <v>0</v>
      </c>
      <c r="AW34" s="64">
        <f>AV34*1.12</f>
        <v>0</v>
      </c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428"/>
      <c r="BN34" s="138"/>
      <c r="BO34" s="138"/>
      <c r="BP34" s="138"/>
      <c r="BQ34" s="138"/>
      <c r="BR34" s="138"/>
      <c r="BS34" s="138"/>
      <c r="BT34" s="138"/>
      <c r="BU34" s="327"/>
      <c r="BV34" s="327"/>
      <c r="BW34" s="329"/>
      <c r="BX34" s="328"/>
    </row>
    <row r="35" spans="1:76" s="320" customFormat="1" hidden="1" outlineLevel="1" x14ac:dyDescent="0.25">
      <c r="A35" s="436"/>
      <c r="B35" s="191"/>
      <c r="C35" s="53" t="s">
        <v>6</v>
      </c>
      <c r="D35" s="53" t="s">
        <v>5</v>
      </c>
      <c r="E35" s="44"/>
      <c r="F35" s="103"/>
      <c r="G35" s="426"/>
      <c r="H35" s="422"/>
      <c r="I35" s="103"/>
      <c r="J35" s="103"/>
      <c r="K35" s="425"/>
      <c r="L35" s="56"/>
      <c r="M35" s="424"/>
      <c r="N35" s="325">
        <f>N34</f>
        <v>0</v>
      </c>
      <c r="O35" s="325">
        <f>O34</f>
        <v>0</v>
      </c>
      <c r="P35" s="325">
        <f>N35</f>
        <v>0</v>
      </c>
      <c r="Q35" s="325">
        <f>O35</f>
        <v>0</v>
      </c>
      <c r="R35" s="423"/>
      <c r="S35" s="422"/>
      <c r="T35" s="312"/>
      <c r="U35" s="312"/>
      <c r="V35" s="312"/>
      <c r="W35" s="312"/>
      <c r="X35" s="312"/>
      <c r="Y35" s="312"/>
      <c r="Z35" s="103"/>
      <c r="AA35" s="103"/>
      <c r="AB35" s="103"/>
      <c r="AC35" s="103"/>
      <c r="AD35" s="103"/>
      <c r="AE35" s="103"/>
      <c r="AF35" s="103">
        <f>Z35+AC35+W35+T35</f>
        <v>0</v>
      </c>
      <c r="AG35" s="103">
        <f>AA35+AD35+X35+U35</f>
        <v>0</v>
      </c>
      <c r="AH35" s="103"/>
      <c r="AI35" s="103"/>
      <c r="AJ35" s="103">
        <f>AI35*1.12</f>
        <v>0</v>
      </c>
      <c r="AK35" s="103"/>
      <c r="AL35" s="103"/>
      <c r="AM35" s="44">
        <f>AL35*1.12</f>
        <v>0</v>
      </c>
      <c r="AN35" s="103"/>
      <c r="AO35" s="44">
        <f>AL35-AI35</f>
        <v>0</v>
      </c>
      <c r="AP35" s="44">
        <f>AM35-AJ35</f>
        <v>0</v>
      </c>
      <c r="AQ35" s="44"/>
      <c r="AR35" s="324" t="str">
        <f>IF(AI35=0,"",AL35/AI35)</f>
        <v/>
      </c>
      <c r="AS35" s="101"/>
      <c r="AT35" s="101"/>
      <c r="AU35" s="101"/>
      <c r="AV35" s="44">
        <f>AV34</f>
        <v>0</v>
      </c>
      <c r="AW35" s="44">
        <f>AV35*1.12</f>
        <v>0</v>
      </c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0"/>
      <c r="BN35" s="131"/>
      <c r="BO35" s="131"/>
      <c r="BP35" s="131"/>
      <c r="BQ35" s="131"/>
      <c r="BR35" s="131"/>
      <c r="BS35" s="131"/>
      <c r="BT35" s="131"/>
      <c r="BW35" s="322"/>
      <c r="BX35" s="321"/>
    </row>
    <row r="36" spans="1:76" s="320" customFormat="1" hidden="1" outlineLevel="1" x14ac:dyDescent="0.25">
      <c r="A36" s="436"/>
      <c r="B36" s="191"/>
      <c r="C36" s="70" t="s">
        <v>9</v>
      </c>
      <c r="D36" s="70" t="s">
        <v>8</v>
      </c>
      <c r="E36" s="64"/>
      <c r="F36" s="117"/>
      <c r="G36" s="441"/>
      <c r="H36" s="437"/>
      <c r="I36" s="117"/>
      <c r="J36" s="117"/>
      <c r="K36" s="440"/>
      <c r="L36" s="73"/>
      <c r="M36" s="439"/>
      <c r="N36" s="332">
        <f>O36/1.12</f>
        <v>0</v>
      </c>
      <c r="O36" s="332"/>
      <c r="P36" s="332">
        <f>N36</f>
        <v>0</v>
      </c>
      <c r="Q36" s="332">
        <f>O36</f>
        <v>0</v>
      </c>
      <c r="R36" s="438"/>
      <c r="S36" s="437"/>
      <c r="T36" s="312"/>
      <c r="U36" s="312"/>
      <c r="V36" s="312"/>
      <c r="W36" s="312"/>
      <c r="X36" s="312"/>
      <c r="Y36" s="312"/>
      <c r="Z36" s="117"/>
      <c r="AA36" s="117"/>
      <c r="AB36" s="117"/>
      <c r="AC36" s="117"/>
      <c r="AD36" s="117"/>
      <c r="AE36" s="117"/>
      <c r="AF36" s="117">
        <f>Z36+AC36+W36+T36</f>
        <v>0</v>
      </c>
      <c r="AG36" s="117">
        <f>AA36+AD36+X36+U36</f>
        <v>0</v>
      </c>
      <c r="AH36" s="117"/>
      <c r="AI36" s="117"/>
      <c r="AJ36" s="117">
        <f>AI36*1.12</f>
        <v>0</v>
      </c>
      <c r="AK36" s="117"/>
      <c r="AL36" s="117"/>
      <c r="AM36" s="64">
        <f>AL36*1.12</f>
        <v>0</v>
      </c>
      <c r="AN36" s="117"/>
      <c r="AO36" s="64">
        <f>AL36-AI36</f>
        <v>0</v>
      </c>
      <c r="AP36" s="64">
        <f>AM36-AJ36</f>
        <v>0</v>
      </c>
      <c r="AQ36" s="64"/>
      <c r="AR36" s="43" t="str">
        <f>IF(AI36=0,"",AL36/AI36)</f>
        <v/>
      </c>
      <c r="AS36" s="115"/>
      <c r="AT36" s="115"/>
      <c r="AU36" s="115"/>
      <c r="AV36" s="64"/>
      <c r="AW36" s="64">
        <f>AV36</f>
        <v>0</v>
      </c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1" t="s">
        <v>124</v>
      </c>
      <c r="BN36" s="138"/>
      <c r="BO36" s="138"/>
      <c r="BP36" s="138"/>
      <c r="BQ36" s="138"/>
      <c r="BR36" s="138"/>
      <c r="BS36" s="138"/>
      <c r="BT36" s="138"/>
      <c r="BU36" s="327"/>
      <c r="BV36" s="327"/>
      <c r="BW36" s="329"/>
      <c r="BX36" s="328"/>
    </row>
    <row r="37" spans="1:76" s="320" customFormat="1" hidden="1" outlineLevel="1" x14ac:dyDescent="0.25">
      <c r="A37" s="436"/>
      <c r="B37" s="191"/>
      <c r="C37" s="70" t="s">
        <v>6</v>
      </c>
      <c r="D37" s="70" t="s">
        <v>26</v>
      </c>
      <c r="E37" s="64"/>
      <c r="F37" s="117"/>
      <c r="G37" s="435"/>
      <c r="H37" s="431"/>
      <c r="I37" s="117"/>
      <c r="J37" s="117"/>
      <c r="K37" s="434"/>
      <c r="L37" s="191"/>
      <c r="M37" s="433"/>
      <c r="N37" s="332">
        <f>N36</f>
        <v>0</v>
      </c>
      <c r="O37" s="332">
        <f>O36</f>
        <v>0</v>
      </c>
      <c r="P37" s="332">
        <f>N37</f>
        <v>0</v>
      </c>
      <c r="Q37" s="332">
        <f>O37</f>
        <v>0</v>
      </c>
      <c r="R37" s="432"/>
      <c r="S37" s="431"/>
      <c r="T37" s="312"/>
      <c r="U37" s="312"/>
      <c r="V37" s="312"/>
      <c r="W37" s="312"/>
      <c r="X37" s="312"/>
      <c r="Y37" s="312"/>
      <c r="Z37" s="117"/>
      <c r="AA37" s="117"/>
      <c r="AB37" s="117"/>
      <c r="AC37" s="117"/>
      <c r="AD37" s="117"/>
      <c r="AE37" s="117"/>
      <c r="AF37" s="117">
        <f>Z37+AC37+W37+T37</f>
        <v>0</v>
      </c>
      <c r="AG37" s="117">
        <f>AA37+AD37+X37+U37</f>
        <v>0</v>
      </c>
      <c r="AH37" s="117"/>
      <c r="AI37" s="117"/>
      <c r="AJ37" s="117">
        <f>AI37*1.12</f>
        <v>0</v>
      </c>
      <c r="AK37" s="117"/>
      <c r="AL37" s="117"/>
      <c r="AM37" s="64">
        <f>AL37*1.12</f>
        <v>0</v>
      </c>
      <c r="AN37" s="117"/>
      <c r="AO37" s="64">
        <f>AL37-AI37</f>
        <v>0</v>
      </c>
      <c r="AP37" s="64">
        <f>AM37-AJ37</f>
        <v>0</v>
      </c>
      <c r="AQ37" s="64"/>
      <c r="AR37" s="43" t="str">
        <f>IF(AI37=0,"",AL37/AI37)</f>
        <v/>
      </c>
      <c r="AS37" s="115"/>
      <c r="AT37" s="115"/>
      <c r="AU37" s="115"/>
      <c r="AV37" s="64">
        <f>AV36</f>
        <v>0</v>
      </c>
      <c r="AW37" s="64">
        <f>AV37*1.12</f>
        <v>0</v>
      </c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428"/>
      <c r="BN37" s="138"/>
      <c r="BO37" s="138"/>
      <c r="BP37" s="138"/>
      <c r="BQ37" s="138"/>
      <c r="BR37" s="138"/>
      <c r="BS37" s="138"/>
      <c r="BT37" s="138"/>
      <c r="BU37" s="327"/>
      <c r="BV37" s="327"/>
      <c r="BW37" s="329"/>
      <c r="BX37" s="328"/>
    </row>
    <row r="38" spans="1:76" s="320" customFormat="1" hidden="1" outlineLevel="1" x14ac:dyDescent="0.25">
      <c r="A38" s="436"/>
      <c r="B38" s="191"/>
      <c r="C38" s="53" t="s">
        <v>6</v>
      </c>
      <c r="D38" s="53" t="s">
        <v>5</v>
      </c>
      <c r="E38" s="44"/>
      <c r="F38" s="103"/>
      <c r="G38" s="426"/>
      <c r="H38" s="422"/>
      <c r="I38" s="103"/>
      <c r="J38" s="103"/>
      <c r="K38" s="425"/>
      <c r="L38" s="56"/>
      <c r="M38" s="424"/>
      <c r="N38" s="325">
        <f>N37</f>
        <v>0</v>
      </c>
      <c r="O38" s="325">
        <f>O37</f>
        <v>0</v>
      </c>
      <c r="P38" s="325">
        <f>N38</f>
        <v>0</v>
      </c>
      <c r="Q38" s="325">
        <f>O38</f>
        <v>0</v>
      </c>
      <c r="R38" s="423"/>
      <c r="S38" s="422"/>
      <c r="T38" s="312"/>
      <c r="U38" s="312"/>
      <c r="V38" s="312"/>
      <c r="W38" s="312"/>
      <c r="X38" s="312"/>
      <c r="Y38" s="312"/>
      <c r="Z38" s="103"/>
      <c r="AA38" s="103"/>
      <c r="AB38" s="103"/>
      <c r="AC38" s="103"/>
      <c r="AD38" s="103"/>
      <c r="AE38" s="103"/>
      <c r="AF38" s="103">
        <f>Z38+AC38+W38+T38</f>
        <v>0</v>
      </c>
      <c r="AG38" s="103">
        <f>AA38+AD38+X38+U38</f>
        <v>0</v>
      </c>
      <c r="AH38" s="103"/>
      <c r="AI38" s="103"/>
      <c r="AJ38" s="103">
        <f>AI38*1.12</f>
        <v>0</v>
      </c>
      <c r="AK38" s="103"/>
      <c r="AL38" s="103"/>
      <c r="AM38" s="44">
        <f>AL38*1.12</f>
        <v>0</v>
      </c>
      <c r="AN38" s="103"/>
      <c r="AO38" s="44">
        <f>AL38-AI38</f>
        <v>0</v>
      </c>
      <c r="AP38" s="44">
        <f>AM38-AJ38</f>
        <v>0</v>
      </c>
      <c r="AQ38" s="44"/>
      <c r="AR38" s="324" t="str">
        <f>IF(AI38=0,"",AL38/AI38)</f>
        <v/>
      </c>
      <c r="AS38" s="101"/>
      <c r="AT38" s="101"/>
      <c r="AU38" s="101"/>
      <c r="AV38" s="44">
        <f>AV37</f>
        <v>0</v>
      </c>
      <c r="AW38" s="44">
        <f>AV38*1.12</f>
        <v>0</v>
      </c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0"/>
      <c r="BN38" s="131"/>
      <c r="BO38" s="131"/>
      <c r="BP38" s="131"/>
      <c r="BQ38" s="131"/>
      <c r="BR38" s="131"/>
      <c r="BS38" s="131"/>
      <c r="BT38" s="131"/>
      <c r="BW38" s="322"/>
      <c r="BX38" s="321"/>
    </row>
    <row r="39" spans="1:76" s="320" customFormat="1" hidden="1" outlineLevel="1" x14ac:dyDescent="0.25">
      <c r="A39" s="436"/>
      <c r="B39" s="191"/>
      <c r="C39" s="70" t="s">
        <v>9</v>
      </c>
      <c r="D39" s="70" t="s">
        <v>8</v>
      </c>
      <c r="E39" s="64"/>
      <c r="F39" s="117"/>
      <c r="G39" s="441"/>
      <c r="H39" s="437"/>
      <c r="I39" s="117"/>
      <c r="J39" s="117"/>
      <c r="K39" s="440"/>
      <c r="L39" s="73"/>
      <c r="M39" s="439"/>
      <c r="N39" s="332">
        <f>O39/1.12</f>
        <v>0</v>
      </c>
      <c r="O39" s="332"/>
      <c r="P39" s="332">
        <f>N39</f>
        <v>0</v>
      </c>
      <c r="Q39" s="332">
        <f>O39</f>
        <v>0</v>
      </c>
      <c r="R39" s="438"/>
      <c r="S39" s="437"/>
      <c r="T39" s="312"/>
      <c r="U39" s="312"/>
      <c r="V39" s="312"/>
      <c r="W39" s="312"/>
      <c r="X39" s="312"/>
      <c r="Y39" s="312"/>
      <c r="Z39" s="117"/>
      <c r="AA39" s="117"/>
      <c r="AB39" s="117"/>
      <c r="AC39" s="117"/>
      <c r="AD39" s="117"/>
      <c r="AE39" s="117"/>
      <c r="AF39" s="117">
        <f>Z39+AC39+W39+T39</f>
        <v>0</v>
      </c>
      <c r="AG39" s="117">
        <f>AA39+AD39+X39+U39</f>
        <v>0</v>
      </c>
      <c r="AH39" s="117"/>
      <c r="AI39" s="117"/>
      <c r="AJ39" s="117">
        <f>AI39*1.12</f>
        <v>0</v>
      </c>
      <c r="AK39" s="117"/>
      <c r="AL39" s="117"/>
      <c r="AM39" s="64">
        <f>AL39*1.12</f>
        <v>0</v>
      </c>
      <c r="AN39" s="117"/>
      <c r="AO39" s="64">
        <f>AL39-AI39</f>
        <v>0</v>
      </c>
      <c r="AP39" s="64">
        <f>AM39-AJ39</f>
        <v>0</v>
      </c>
      <c r="AQ39" s="64"/>
      <c r="AR39" s="43" t="str">
        <f>IF(AI39=0,"",AL39/AI39)</f>
        <v/>
      </c>
      <c r="AS39" s="115"/>
      <c r="AT39" s="115"/>
      <c r="AU39" s="115"/>
      <c r="AV39" s="64"/>
      <c r="AW39" s="64">
        <f>AV39</f>
        <v>0</v>
      </c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1" t="s">
        <v>124</v>
      </c>
      <c r="BN39" s="138"/>
      <c r="BO39" s="138"/>
      <c r="BP39" s="138"/>
      <c r="BQ39" s="138"/>
      <c r="BR39" s="138"/>
      <c r="BS39" s="138"/>
      <c r="BT39" s="138"/>
      <c r="BU39" s="327"/>
      <c r="BV39" s="327"/>
      <c r="BW39" s="329"/>
      <c r="BX39" s="328"/>
    </row>
    <row r="40" spans="1:76" s="320" customFormat="1" hidden="1" outlineLevel="1" x14ac:dyDescent="0.25">
      <c r="A40" s="436"/>
      <c r="B40" s="191"/>
      <c r="C40" s="70" t="s">
        <v>6</v>
      </c>
      <c r="D40" s="70" t="s">
        <v>26</v>
      </c>
      <c r="E40" s="64"/>
      <c r="F40" s="117"/>
      <c r="G40" s="435"/>
      <c r="H40" s="431"/>
      <c r="I40" s="117"/>
      <c r="J40" s="117"/>
      <c r="K40" s="434"/>
      <c r="L40" s="191"/>
      <c r="M40" s="433"/>
      <c r="N40" s="332">
        <f>N39</f>
        <v>0</v>
      </c>
      <c r="O40" s="332">
        <f>O39</f>
        <v>0</v>
      </c>
      <c r="P40" s="332">
        <f>N40</f>
        <v>0</v>
      </c>
      <c r="Q40" s="332">
        <f>O40</f>
        <v>0</v>
      </c>
      <c r="R40" s="432"/>
      <c r="S40" s="431"/>
      <c r="T40" s="312"/>
      <c r="U40" s="312"/>
      <c r="V40" s="312"/>
      <c r="W40" s="312"/>
      <c r="X40" s="312"/>
      <c r="Y40" s="312"/>
      <c r="Z40" s="117"/>
      <c r="AA40" s="117"/>
      <c r="AB40" s="117"/>
      <c r="AC40" s="117"/>
      <c r="AD40" s="117"/>
      <c r="AE40" s="117"/>
      <c r="AF40" s="117">
        <f>Z40+AC40+W40+T40</f>
        <v>0</v>
      </c>
      <c r="AG40" s="117">
        <f>AA40+AD40+X40+U40</f>
        <v>0</v>
      </c>
      <c r="AH40" s="117"/>
      <c r="AI40" s="117"/>
      <c r="AJ40" s="117">
        <f>AI40*1.12</f>
        <v>0</v>
      </c>
      <c r="AK40" s="117"/>
      <c r="AL40" s="117"/>
      <c r="AM40" s="64">
        <f>AL40*1.12</f>
        <v>0</v>
      </c>
      <c r="AN40" s="117"/>
      <c r="AO40" s="64">
        <f>AL40-AI40</f>
        <v>0</v>
      </c>
      <c r="AP40" s="64">
        <f>AM40-AJ40</f>
        <v>0</v>
      </c>
      <c r="AQ40" s="64"/>
      <c r="AR40" s="43" t="str">
        <f>IF(AI40=0,"",AL40/AI40)</f>
        <v/>
      </c>
      <c r="AS40" s="115"/>
      <c r="AT40" s="115"/>
      <c r="AU40" s="115"/>
      <c r="AV40" s="64">
        <f>AV39</f>
        <v>0</v>
      </c>
      <c r="AW40" s="64">
        <f>AV40*1.12</f>
        <v>0</v>
      </c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428"/>
      <c r="BN40" s="138"/>
      <c r="BO40" s="138"/>
      <c r="BP40" s="138"/>
      <c r="BQ40" s="138"/>
      <c r="BR40" s="138"/>
      <c r="BS40" s="138"/>
      <c r="BT40" s="138"/>
      <c r="BU40" s="327"/>
      <c r="BV40" s="327"/>
      <c r="BW40" s="329"/>
      <c r="BX40" s="328"/>
    </row>
    <row r="41" spans="1:76" s="320" customFormat="1" hidden="1" outlineLevel="1" x14ac:dyDescent="0.25">
      <c r="A41" s="427"/>
      <c r="B41" s="56"/>
      <c r="C41" s="53" t="s">
        <v>6</v>
      </c>
      <c r="D41" s="53" t="s">
        <v>5</v>
      </c>
      <c r="E41" s="44"/>
      <c r="F41" s="103"/>
      <c r="G41" s="426"/>
      <c r="H41" s="422"/>
      <c r="I41" s="103"/>
      <c r="J41" s="103"/>
      <c r="K41" s="425"/>
      <c r="L41" s="56"/>
      <c r="M41" s="424"/>
      <c r="N41" s="325">
        <f>N40</f>
        <v>0</v>
      </c>
      <c r="O41" s="325">
        <f>O40</f>
        <v>0</v>
      </c>
      <c r="P41" s="325">
        <f>N41</f>
        <v>0</v>
      </c>
      <c r="Q41" s="325">
        <f>O41</f>
        <v>0</v>
      </c>
      <c r="R41" s="423"/>
      <c r="S41" s="422"/>
      <c r="T41" s="312"/>
      <c r="U41" s="312"/>
      <c r="V41" s="312"/>
      <c r="W41" s="312"/>
      <c r="X41" s="312"/>
      <c r="Y41" s="312"/>
      <c r="Z41" s="103"/>
      <c r="AA41" s="103"/>
      <c r="AB41" s="103"/>
      <c r="AC41" s="103"/>
      <c r="AD41" s="103"/>
      <c r="AE41" s="103"/>
      <c r="AF41" s="103">
        <f>Z41+AC41+W41+T41</f>
        <v>0</v>
      </c>
      <c r="AG41" s="103">
        <f>AA41+AD41+X41+U41</f>
        <v>0</v>
      </c>
      <c r="AH41" s="103"/>
      <c r="AI41" s="103"/>
      <c r="AJ41" s="103">
        <f>AI41*1.12</f>
        <v>0</v>
      </c>
      <c r="AK41" s="103"/>
      <c r="AL41" s="103"/>
      <c r="AM41" s="44">
        <f>AL41*1.12</f>
        <v>0</v>
      </c>
      <c r="AN41" s="103"/>
      <c r="AO41" s="44">
        <f>AL41-AI41</f>
        <v>0</v>
      </c>
      <c r="AP41" s="44">
        <f>AM41-AJ41</f>
        <v>0</v>
      </c>
      <c r="AQ41" s="44"/>
      <c r="AR41" s="324" t="str">
        <f>IF(AI41=0,"",AL41/AI41)</f>
        <v/>
      </c>
      <c r="AS41" s="101"/>
      <c r="AT41" s="101"/>
      <c r="AU41" s="101"/>
      <c r="AV41" s="44">
        <f>AV40</f>
        <v>0</v>
      </c>
      <c r="AW41" s="44">
        <f>AV41*1.12</f>
        <v>0</v>
      </c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0"/>
      <c r="BN41" s="131"/>
      <c r="BO41" s="131"/>
      <c r="BP41" s="131"/>
      <c r="BQ41" s="131"/>
      <c r="BR41" s="131"/>
      <c r="BS41" s="131"/>
      <c r="BT41" s="131"/>
      <c r="BW41" s="322"/>
      <c r="BX41" s="321"/>
    </row>
    <row r="42" spans="1:76" s="327" customFormat="1" ht="18.75" customHeight="1" collapsed="1" x14ac:dyDescent="0.25">
      <c r="A42" s="442"/>
      <c r="B42" s="237" t="s">
        <v>161</v>
      </c>
      <c r="C42" s="70" t="s">
        <v>9</v>
      </c>
      <c r="D42" s="70" t="s">
        <v>8</v>
      </c>
      <c r="E42" s="64">
        <f>I42</f>
        <v>50799</v>
      </c>
      <c r="F42" s="117">
        <f>E42*1.12</f>
        <v>56894.880000000005</v>
      </c>
      <c r="G42" s="441">
        <v>1818</v>
      </c>
      <c r="H42" s="437"/>
      <c r="I42" s="117">
        <v>50799</v>
      </c>
      <c r="J42" s="117">
        <f>I42*1.12</f>
        <v>56894.880000000005</v>
      </c>
      <c r="K42" s="472" t="s">
        <v>160</v>
      </c>
      <c r="L42" s="336" t="s">
        <v>159</v>
      </c>
      <c r="M42" s="516" t="s">
        <v>13</v>
      </c>
      <c r="N42" s="332">
        <f>O42/1.12</f>
        <v>46651320</v>
      </c>
      <c r="O42" s="332">
        <f>O45+O48+O51+O54</f>
        <v>52249478.400000006</v>
      </c>
      <c r="P42" s="332">
        <f>N42</f>
        <v>46651320</v>
      </c>
      <c r="Q42" s="332">
        <f>O42</f>
        <v>52249478.400000006</v>
      </c>
      <c r="R42" s="438" t="s">
        <v>87</v>
      </c>
      <c r="S42" s="437">
        <f>S45+S48+S51+S54</f>
        <v>120</v>
      </c>
      <c r="T42" s="312"/>
      <c r="U42" s="312"/>
      <c r="V42" s="312"/>
      <c r="W42" s="312"/>
      <c r="X42" s="312"/>
      <c r="Y42" s="312"/>
      <c r="Z42" s="117"/>
      <c r="AA42" s="117"/>
      <c r="AB42" s="117"/>
      <c r="AC42" s="117"/>
      <c r="AD42" s="117"/>
      <c r="AE42" s="117"/>
      <c r="AF42" s="117">
        <f>Z42+AC42+W42+T42</f>
        <v>0</v>
      </c>
      <c r="AG42" s="117">
        <f>AA42+AD42+X42+U42</f>
        <v>0</v>
      </c>
      <c r="AH42" s="117"/>
      <c r="AI42" s="117">
        <v>46652</v>
      </c>
      <c r="AJ42" s="117">
        <f>AI42*1.12</f>
        <v>52250.240000000005</v>
      </c>
      <c r="AK42" s="117"/>
      <c r="AL42" s="117">
        <f>AL45+AL48+AL51+AL54</f>
        <v>46651</v>
      </c>
      <c r="AM42" s="64">
        <f>AL42*1.12</f>
        <v>52249.120000000003</v>
      </c>
      <c r="AN42" s="117"/>
      <c r="AO42" s="64">
        <f>AL42-AI42</f>
        <v>-1</v>
      </c>
      <c r="AP42" s="64">
        <f>AM42-AJ42</f>
        <v>-1.1200000000026193</v>
      </c>
      <c r="AQ42" s="117"/>
      <c r="AR42" s="43">
        <f>IF(AI42=0,"",AL42/AI42)</f>
        <v>0.99997856469176027</v>
      </c>
      <c r="AS42" s="115"/>
      <c r="AT42" s="115"/>
      <c r="AU42" s="115"/>
      <c r="AV42" s="64">
        <f>I42</f>
        <v>50799</v>
      </c>
      <c r="AW42" s="64">
        <f>AV42</f>
        <v>50799</v>
      </c>
      <c r="AX42" s="64"/>
      <c r="AY42" s="64"/>
      <c r="AZ42" s="64">
        <f>AL42-AI42</f>
        <v>-1</v>
      </c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518" t="s">
        <v>158</v>
      </c>
      <c r="BN42" s="138"/>
      <c r="BO42" s="138"/>
      <c r="BP42" s="138"/>
      <c r="BQ42" s="138"/>
      <c r="BR42" s="138"/>
      <c r="BS42" s="138"/>
      <c r="BT42" s="138"/>
      <c r="BW42" s="329"/>
      <c r="BX42" s="328"/>
    </row>
    <row r="43" spans="1:76" s="327" customFormat="1" ht="18.75" customHeight="1" x14ac:dyDescent="0.25">
      <c r="A43" s="436"/>
      <c r="B43" s="235"/>
      <c r="C43" s="70" t="s">
        <v>6</v>
      </c>
      <c r="D43" s="70" t="s">
        <v>26</v>
      </c>
      <c r="E43" s="64">
        <f>I43</f>
        <v>50799</v>
      </c>
      <c r="F43" s="117">
        <f>E43*1.12</f>
        <v>56894.880000000005</v>
      </c>
      <c r="G43" s="435"/>
      <c r="H43" s="431"/>
      <c r="I43" s="117">
        <v>50799</v>
      </c>
      <c r="J43" s="117">
        <f>I43*1.12</f>
        <v>56894.880000000005</v>
      </c>
      <c r="K43" s="470"/>
      <c r="L43" s="336"/>
      <c r="M43" s="516"/>
      <c r="N43" s="332">
        <f>N42</f>
        <v>46651320</v>
      </c>
      <c r="O43" s="332">
        <f>O42</f>
        <v>52249478.400000006</v>
      </c>
      <c r="P43" s="332">
        <f>N43</f>
        <v>46651320</v>
      </c>
      <c r="Q43" s="332">
        <f>O43</f>
        <v>52249478.400000006</v>
      </c>
      <c r="R43" s="432"/>
      <c r="S43" s="431"/>
      <c r="T43" s="312"/>
      <c r="U43" s="312"/>
      <c r="V43" s="312"/>
      <c r="W43" s="312"/>
      <c r="X43" s="312"/>
      <c r="Y43" s="312"/>
      <c r="Z43" s="117"/>
      <c r="AA43" s="117"/>
      <c r="AB43" s="117"/>
      <c r="AC43" s="117"/>
      <c r="AD43" s="117"/>
      <c r="AE43" s="117"/>
      <c r="AF43" s="117">
        <f>Z43+AC43+W43+T43</f>
        <v>0</v>
      </c>
      <c r="AG43" s="117">
        <f>AA43+AD43+X43+U43</f>
        <v>0</v>
      </c>
      <c r="AH43" s="117"/>
      <c r="AI43" s="117">
        <f>AI42</f>
        <v>46652</v>
      </c>
      <c r="AJ43" s="117">
        <f>AI43*1.12</f>
        <v>52250.240000000005</v>
      </c>
      <c r="AK43" s="117"/>
      <c r="AL43" s="117">
        <f>AL44</f>
        <v>46651.319999999992</v>
      </c>
      <c r="AM43" s="64">
        <f>AL43*1.12</f>
        <v>52249.4784</v>
      </c>
      <c r="AN43" s="117"/>
      <c r="AO43" s="64">
        <f>AL43-AI43</f>
        <v>-0.680000000007567</v>
      </c>
      <c r="AP43" s="64">
        <f>AM43-AJ43</f>
        <v>-0.76160000000527361</v>
      </c>
      <c r="AQ43" s="64"/>
      <c r="AR43" s="43">
        <f>IF(AI43=0,"",AL43/AI43)</f>
        <v>0.9999854239903968</v>
      </c>
      <c r="AS43" s="115"/>
      <c r="AT43" s="115">
        <f>AT44</f>
        <v>32655.923999999995</v>
      </c>
      <c r="AU43" s="115">
        <f>AU44</f>
        <v>13995.395999999999</v>
      </c>
      <c r="AV43" s="64">
        <f>I43</f>
        <v>50799</v>
      </c>
      <c r="AW43" s="64">
        <f>AV43*1.12</f>
        <v>56894.880000000005</v>
      </c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517"/>
      <c r="BN43" s="138"/>
      <c r="BO43" s="138"/>
      <c r="BP43" s="138"/>
      <c r="BQ43" s="138"/>
      <c r="BR43" s="138"/>
      <c r="BS43" s="138"/>
      <c r="BT43" s="138"/>
      <c r="BW43" s="329"/>
      <c r="BX43" s="328"/>
    </row>
    <row r="44" spans="1:76" s="320" customFormat="1" ht="18.75" customHeight="1" x14ac:dyDescent="0.25">
      <c r="A44" s="436"/>
      <c r="B44" s="235"/>
      <c r="C44" s="53" t="s">
        <v>6</v>
      </c>
      <c r="D44" s="53" t="s">
        <v>5</v>
      </c>
      <c r="E44" s="44">
        <f>I44</f>
        <v>50799</v>
      </c>
      <c r="F44" s="103">
        <f>E44*1.12</f>
        <v>56894.880000000005</v>
      </c>
      <c r="G44" s="426"/>
      <c r="H44" s="422"/>
      <c r="I44" s="103">
        <f>I43</f>
        <v>50799</v>
      </c>
      <c r="J44" s="103">
        <f>I44*1.12</f>
        <v>56894.880000000005</v>
      </c>
      <c r="K44" s="470"/>
      <c r="L44" s="336"/>
      <c r="M44" s="516"/>
      <c r="N44" s="325">
        <f>N43</f>
        <v>46651320</v>
      </c>
      <c r="O44" s="325">
        <f>O43</f>
        <v>52249478.400000006</v>
      </c>
      <c r="P44" s="325">
        <f>N44</f>
        <v>46651320</v>
      </c>
      <c r="Q44" s="325">
        <f>O44</f>
        <v>52249478.400000006</v>
      </c>
      <c r="R44" s="432"/>
      <c r="S44" s="422"/>
      <c r="T44" s="312"/>
      <c r="U44" s="312"/>
      <c r="V44" s="312"/>
      <c r="W44" s="312"/>
      <c r="X44" s="312"/>
      <c r="Y44" s="312"/>
      <c r="Z44" s="103"/>
      <c r="AA44" s="103"/>
      <c r="AB44" s="103"/>
      <c r="AC44" s="103"/>
      <c r="AD44" s="103"/>
      <c r="AE44" s="103"/>
      <c r="AF44" s="103">
        <f>Z44+AC44+W44+T44</f>
        <v>0</v>
      </c>
      <c r="AG44" s="103">
        <f>AA44+AD44+X44+U44</f>
        <v>0</v>
      </c>
      <c r="AH44" s="103"/>
      <c r="AI44" s="103">
        <f>AI43</f>
        <v>46652</v>
      </c>
      <c r="AJ44" s="103">
        <f>AI44*1.12</f>
        <v>52250.240000000005</v>
      </c>
      <c r="AK44" s="103"/>
      <c r="AL44" s="225">
        <f>15674.84352/1.12+36574.63488/1.12</f>
        <v>46651.319999999992</v>
      </c>
      <c r="AM44" s="44">
        <f>AL44*1.12</f>
        <v>52249.4784</v>
      </c>
      <c r="AN44" s="103"/>
      <c r="AO44" s="44">
        <f>AL44-AI44</f>
        <v>-0.680000000007567</v>
      </c>
      <c r="AP44" s="44">
        <f>AM44-AJ44</f>
        <v>-0.76160000000527361</v>
      </c>
      <c r="AQ44" s="44"/>
      <c r="AR44" s="324">
        <f>IF(AI44=0,"",AL44/AI44)</f>
        <v>0.9999854239903968</v>
      </c>
      <c r="AS44" s="101"/>
      <c r="AT44" s="101">
        <f>36574.63488/1.12</f>
        <v>32655.923999999995</v>
      </c>
      <c r="AU44" s="101">
        <f>15674.84352/1.12</f>
        <v>13995.395999999999</v>
      </c>
      <c r="AV44" s="44">
        <f>AV43</f>
        <v>50799</v>
      </c>
      <c r="AW44" s="44">
        <f>AV44*1.12</f>
        <v>56894.880000000005</v>
      </c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515"/>
      <c r="BN44" s="131"/>
      <c r="BO44" s="131"/>
      <c r="BP44" s="131"/>
      <c r="BQ44" s="131"/>
      <c r="BR44" s="131"/>
      <c r="BS44" s="131"/>
      <c r="BT44" s="131"/>
      <c r="BW44" s="322"/>
      <c r="BX44" s="321"/>
    </row>
    <row r="45" spans="1:76" s="512" customFormat="1" ht="18.75" hidden="1" customHeight="1" outlineLevel="1" collapsed="1" x14ac:dyDescent="0.25">
      <c r="A45" s="436"/>
      <c r="B45" s="235"/>
      <c r="C45" s="505" t="s">
        <v>9</v>
      </c>
      <c r="D45" s="505" t="s">
        <v>8</v>
      </c>
      <c r="E45" s="496">
        <f>I45</f>
        <v>0</v>
      </c>
      <c r="F45" s="499">
        <f>E45*1.12</f>
        <v>0</v>
      </c>
      <c r="G45" s="511"/>
      <c r="H45" s="508"/>
      <c r="I45" s="499"/>
      <c r="J45" s="499">
        <f>I45*1.12</f>
        <v>0</v>
      </c>
      <c r="K45" s="470"/>
      <c r="L45" s="510" t="s">
        <v>154</v>
      </c>
      <c r="M45" s="481"/>
      <c r="N45" s="501">
        <f>O45/1.12</f>
        <v>42374949</v>
      </c>
      <c r="O45" s="501">
        <f>435412.32*S45</f>
        <v>47459942.880000003</v>
      </c>
      <c r="P45" s="501">
        <f>N45</f>
        <v>42374949</v>
      </c>
      <c r="Q45" s="501">
        <f>O45</f>
        <v>47459942.880000003</v>
      </c>
      <c r="R45" s="432"/>
      <c r="S45" s="508">
        <f>66+43</f>
        <v>109</v>
      </c>
      <c r="T45" s="487"/>
      <c r="U45" s="487"/>
      <c r="V45" s="487"/>
      <c r="W45" s="487"/>
      <c r="X45" s="487"/>
      <c r="Y45" s="487"/>
      <c r="Z45" s="499"/>
      <c r="AA45" s="499"/>
      <c r="AB45" s="499"/>
      <c r="AC45" s="499"/>
      <c r="AD45" s="499"/>
      <c r="AE45" s="499"/>
      <c r="AF45" s="499">
        <f>Z45+AC45+W45+T45</f>
        <v>0</v>
      </c>
      <c r="AG45" s="499">
        <f>AA45+AD45+X45+U45</f>
        <v>0</v>
      </c>
      <c r="AH45" s="499"/>
      <c r="AI45" s="499"/>
      <c r="AJ45" s="499">
        <f>AI45*1.12</f>
        <v>0</v>
      </c>
      <c r="AK45" s="499"/>
      <c r="AL45" s="507">
        <f>ROUND(P45/1000,0)</f>
        <v>42375</v>
      </c>
      <c r="AM45" s="496">
        <f>AL45*1.12</f>
        <v>47460.000000000007</v>
      </c>
      <c r="AN45" s="507">
        <v>109</v>
      </c>
      <c r="AO45" s="496">
        <f>AL45-AI45</f>
        <v>42375</v>
      </c>
      <c r="AP45" s="496">
        <f>AM45-AJ45</f>
        <v>47460.000000000007</v>
      </c>
      <c r="AQ45" s="496"/>
      <c r="AR45" s="498" t="str">
        <f>IF(AI45=0,"",AL45/AI45)</f>
        <v/>
      </c>
      <c r="AS45" s="497"/>
      <c r="AT45" s="497"/>
      <c r="AU45" s="497"/>
      <c r="AV45" s="496">
        <f>I45</f>
        <v>0</v>
      </c>
      <c r="AW45" s="496">
        <f>AV45</f>
        <v>0</v>
      </c>
      <c r="AX45" s="496"/>
      <c r="AY45" s="496"/>
      <c r="AZ45" s="496"/>
      <c r="BA45" s="496"/>
      <c r="BB45" s="496"/>
      <c r="BC45" s="496"/>
      <c r="BD45" s="496"/>
      <c r="BE45" s="496"/>
      <c r="BF45" s="496"/>
      <c r="BG45" s="496"/>
      <c r="BH45" s="496"/>
      <c r="BI45" s="496"/>
      <c r="BJ45" s="496"/>
      <c r="BK45" s="496"/>
      <c r="BL45" s="496">
        <f>AL45-AI45</f>
        <v>42375</v>
      </c>
      <c r="BM45" s="506" t="s">
        <v>124</v>
      </c>
      <c r="BN45" s="494"/>
      <c r="BO45" s="494"/>
      <c r="BP45" s="494"/>
      <c r="BQ45" s="494"/>
      <c r="BR45" s="494"/>
      <c r="BS45" s="494"/>
      <c r="BT45" s="494"/>
      <c r="BW45" s="514"/>
      <c r="BX45" s="513"/>
    </row>
    <row r="46" spans="1:76" s="512" customFormat="1" ht="18.75" hidden="1" customHeight="1" outlineLevel="1" x14ac:dyDescent="0.25">
      <c r="A46" s="436"/>
      <c r="B46" s="235"/>
      <c r="C46" s="505" t="s">
        <v>6</v>
      </c>
      <c r="D46" s="505" t="s">
        <v>26</v>
      </c>
      <c r="E46" s="496">
        <f>I46</f>
        <v>0</v>
      </c>
      <c r="F46" s="499">
        <f>E46*1.12</f>
        <v>0</v>
      </c>
      <c r="G46" s="504"/>
      <c r="H46" s="500"/>
      <c r="I46" s="499"/>
      <c r="J46" s="499">
        <f>I46*1.12</f>
        <v>0</v>
      </c>
      <c r="K46" s="470"/>
      <c r="L46" s="503"/>
      <c r="M46" s="481"/>
      <c r="N46" s="501">
        <f>N45</f>
        <v>42374949</v>
      </c>
      <c r="O46" s="501">
        <f>O45</f>
        <v>47459942.880000003</v>
      </c>
      <c r="P46" s="501">
        <f>N46</f>
        <v>42374949</v>
      </c>
      <c r="Q46" s="501">
        <f>O46</f>
        <v>47459942.880000003</v>
      </c>
      <c r="R46" s="432"/>
      <c r="S46" s="500"/>
      <c r="T46" s="487"/>
      <c r="U46" s="487"/>
      <c r="V46" s="487"/>
      <c r="W46" s="487"/>
      <c r="X46" s="487"/>
      <c r="Y46" s="487"/>
      <c r="Z46" s="499"/>
      <c r="AA46" s="499"/>
      <c r="AB46" s="499"/>
      <c r="AC46" s="499"/>
      <c r="AD46" s="499"/>
      <c r="AE46" s="499"/>
      <c r="AF46" s="499">
        <f>Z46+AC46+W46+T46</f>
        <v>0</v>
      </c>
      <c r="AG46" s="499">
        <f>AA46+AD46+X46+U46</f>
        <v>0</v>
      </c>
      <c r="AH46" s="499"/>
      <c r="AI46" s="499"/>
      <c r="AJ46" s="499">
        <f>AI46*1.12</f>
        <v>0</v>
      </c>
      <c r="AK46" s="499"/>
      <c r="AL46" s="499"/>
      <c r="AM46" s="496">
        <f>AL46*1.12</f>
        <v>0</v>
      </c>
      <c r="AN46" s="499"/>
      <c r="AO46" s="496">
        <f>AL46-AI46</f>
        <v>0</v>
      </c>
      <c r="AP46" s="496">
        <f>AM46-AJ46</f>
        <v>0</v>
      </c>
      <c r="AQ46" s="496"/>
      <c r="AR46" s="498" t="str">
        <f>IF(AI46=0,"",AL46/AI46)</f>
        <v/>
      </c>
      <c r="AS46" s="497"/>
      <c r="AT46" s="497"/>
      <c r="AU46" s="497"/>
      <c r="AV46" s="496">
        <f>I46</f>
        <v>0</v>
      </c>
      <c r="AW46" s="496">
        <f>AV46*1.12</f>
        <v>0</v>
      </c>
      <c r="AX46" s="496"/>
      <c r="AY46" s="496"/>
      <c r="AZ46" s="496"/>
      <c r="BA46" s="496"/>
      <c r="BB46" s="496"/>
      <c r="BC46" s="496"/>
      <c r="BD46" s="496"/>
      <c r="BE46" s="496"/>
      <c r="BF46" s="496"/>
      <c r="BG46" s="496"/>
      <c r="BH46" s="496"/>
      <c r="BI46" s="496"/>
      <c r="BJ46" s="496"/>
      <c r="BK46" s="496"/>
      <c r="BL46" s="496"/>
      <c r="BM46" s="495"/>
      <c r="BN46" s="494"/>
      <c r="BO46" s="494"/>
      <c r="BP46" s="494"/>
      <c r="BQ46" s="494"/>
      <c r="BR46" s="494"/>
      <c r="BS46" s="494"/>
      <c r="BT46" s="494"/>
      <c r="BW46" s="514"/>
      <c r="BX46" s="513"/>
    </row>
    <row r="47" spans="1:76" s="478" customFormat="1" ht="18.75" hidden="1" customHeight="1" outlineLevel="1" x14ac:dyDescent="0.25">
      <c r="A47" s="436"/>
      <c r="B47" s="235"/>
      <c r="C47" s="493" t="s">
        <v>6</v>
      </c>
      <c r="D47" s="493" t="s">
        <v>5</v>
      </c>
      <c r="E47" s="483">
        <f>I47</f>
        <v>0</v>
      </c>
      <c r="F47" s="486">
        <f>E47*1.12</f>
        <v>0</v>
      </c>
      <c r="G47" s="492"/>
      <c r="H47" s="488"/>
      <c r="I47" s="486">
        <f>I46</f>
        <v>0</v>
      </c>
      <c r="J47" s="486">
        <f>I47*1.12</f>
        <v>0</v>
      </c>
      <c r="K47" s="470"/>
      <c r="L47" s="491"/>
      <c r="M47" s="481"/>
      <c r="N47" s="489">
        <f>N46</f>
        <v>42374949</v>
      </c>
      <c r="O47" s="489">
        <f>O46</f>
        <v>47459942.880000003</v>
      </c>
      <c r="P47" s="489">
        <f>N47</f>
        <v>42374949</v>
      </c>
      <c r="Q47" s="489">
        <f>O47</f>
        <v>47459942.880000003</v>
      </c>
      <c r="R47" s="432"/>
      <c r="S47" s="488"/>
      <c r="T47" s="487"/>
      <c r="U47" s="487"/>
      <c r="V47" s="487"/>
      <c r="W47" s="487"/>
      <c r="X47" s="487"/>
      <c r="Y47" s="487"/>
      <c r="Z47" s="486"/>
      <c r="AA47" s="486"/>
      <c r="AB47" s="486"/>
      <c r="AC47" s="486"/>
      <c r="AD47" s="486"/>
      <c r="AE47" s="486"/>
      <c r="AF47" s="486">
        <f>Z47+AC47+W47+T47</f>
        <v>0</v>
      </c>
      <c r="AG47" s="486">
        <f>AA47+AD47+X47+U47</f>
        <v>0</v>
      </c>
      <c r="AH47" s="486"/>
      <c r="AI47" s="486">
        <f>AI46</f>
        <v>0</v>
      </c>
      <c r="AJ47" s="486">
        <f>AI47*1.12</f>
        <v>0</v>
      </c>
      <c r="AK47" s="486"/>
      <c r="AL47" s="486"/>
      <c r="AM47" s="483">
        <f>AL47*1.12</f>
        <v>0</v>
      </c>
      <c r="AN47" s="486"/>
      <c r="AO47" s="483">
        <f>AL47-AI47</f>
        <v>0</v>
      </c>
      <c r="AP47" s="483">
        <f>AM47-AJ47</f>
        <v>0</v>
      </c>
      <c r="AQ47" s="483"/>
      <c r="AR47" s="485" t="str">
        <f>IF(AI47=0,"",AL47/AI47)</f>
        <v/>
      </c>
      <c r="AS47" s="484"/>
      <c r="AT47" s="484"/>
      <c r="AU47" s="484"/>
      <c r="AV47" s="483">
        <f>AV46</f>
        <v>0</v>
      </c>
      <c r="AW47" s="483">
        <f>AV47*1.12</f>
        <v>0</v>
      </c>
      <c r="AX47" s="483"/>
      <c r="AY47" s="483"/>
      <c r="AZ47" s="483"/>
      <c r="BA47" s="483"/>
      <c r="BB47" s="483"/>
      <c r="BC47" s="483"/>
      <c r="BD47" s="483"/>
      <c r="BE47" s="483"/>
      <c r="BF47" s="483"/>
      <c r="BG47" s="483"/>
      <c r="BH47" s="483"/>
      <c r="BI47" s="483"/>
      <c r="BJ47" s="483"/>
      <c r="BK47" s="483"/>
      <c r="BL47" s="483"/>
      <c r="BM47" s="482"/>
      <c r="BN47" s="481"/>
      <c r="BO47" s="481"/>
      <c r="BP47" s="481"/>
      <c r="BQ47" s="481"/>
      <c r="BR47" s="481"/>
      <c r="BS47" s="481"/>
      <c r="BT47" s="481"/>
      <c r="BW47" s="480"/>
      <c r="BX47" s="479"/>
    </row>
    <row r="48" spans="1:76" s="478" customFormat="1" ht="12" hidden="1" outlineLevel="1" x14ac:dyDescent="0.25">
      <c r="A48" s="436"/>
      <c r="B48" s="235"/>
      <c r="C48" s="505" t="s">
        <v>9</v>
      </c>
      <c r="D48" s="505" t="s">
        <v>8</v>
      </c>
      <c r="E48" s="496"/>
      <c r="F48" s="499"/>
      <c r="G48" s="511"/>
      <c r="H48" s="508"/>
      <c r="I48" s="499"/>
      <c r="J48" s="499"/>
      <c r="K48" s="470"/>
      <c r="L48" s="510" t="s">
        <v>153</v>
      </c>
      <c r="M48" s="481"/>
      <c r="N48" s="501">
        <f>O48/1.12</f>
        <v>1166282.9999999998</v>
      </c>
      <c r="O48" s="501">
        <f>435412.32*S48</f>
        <v>1306236.96</v>
      </c>
      <c r="P48" s="501">
        <f>N48</f>
        <v>1166282.9999999998</v>
      </c>
      <c r="Q48" s="501">
        <f>O48</f>
        <v>1306236.96</v>
      </c>
      <c r="R48" s="432"/>
      <c r="S48" s="508">
        <v>3</v>
      </c>
      <c r="T48" s="487"/>
      <c r="U48" s="487"/>
      <c r="V48" s="487"/>
      <c r="W48" s="487"/>
      <c r="X48" s="487"/>
      <c r="Y48" s="487"/>
      <c r="Z48" s="499"/>
      <c r="AA48" s="499"/>
      <c r="AB48" s="499"/>
      <c r="AC48" s="499"/>
      <c r="AD48" s="499"/>
      <c r="AE48" s="499"/>
      <c r="AF48" s="499">
        <f>Z48+AC48+W48+T48</f>
        <v>0</v>
      </c>
      <c r="AG48" s="499">
        <f>AA48+AD48+X48+U48</f>
        <v>0</v>
      </c>
      <c r="AH48" s="499"/>
      <c r="AI48" s="499"/>
      <c r="AJ48" s="499">
        <f>AI48*1.12</f>
        <v>0</v>
      </c>
      <c r="AK48" s="499"/>
      <c r="AL48" s="507">
        <f>ROUND(P48/1000,0)</f>
        <v>1166</v>
      </c>
      <c r="AM48" s="496">
        <f>AL48*1.12</f>
        <v>1305.92</v>
      </c>
      <c r="AN48" s="507">
        <v>3</v>
      </c>
      <c r="AO48" s="496">
        <f>AL48-AI48</f>
        <v>1166</v>
      </c>
      <c r="AP48" s="496">
        <f>AM48-AJ48</f>
        <v>1305.92</v>
      </c>
      <c r="AQ48" s="496"/>
      <c r="AR48" s="498" t="str">
        <f>IF(AI48=0,"",AL48/AI48)</f>
        <v/>
      </c>
      <c r="AS48" s="497"/>
      <c r="AT48" s="497"/>
      <c r="AU48" s="497"/>
      <c r="AV48" s="496"/>
      <c r="AW48" s="496">
        <f>AV48</f>
        <v>0</v>
      </c>
      <c r="AX48" s="496"/>
      <c r="AY48" s="496"/>
      <c r="AZ48" s="496"/>
      <c r="BA48" s="496"/>
      <c r="BB48" s="496"/>
      <c r="BC48" s="496"/>
      <c r="BD48" s="496"/>
      <c r="BE48" s="496"/>
      <c r="BF48" s="496"/>
      <c r="BG48" s="496"/>
      <c r="BH48" s="496"/>
      <c r="BI48" s="496"/>
      <c r="BJ48" s="496"/>
      <c r="BK48" s="496"/>
      <c r="BL48" s="496"/>
      <c r="BM48" s="506" t="s">
        <v>152</v>
      </c>
      <c r="BN48" s="494"/>
      <c r="BO48" s="494"/>
      <c r="BP48" s="494"/>
      <c r="BQ48" s="494"/>
      <c r="BR48" s="494"/>
      <c r="BS48" s="494"/>
      <c r="BT48" s="494"/>
      <c r="BW48" s="480"/>
      <c r="BX48" s="479"/>
    </row>
    <row r="49" spans="1:76" s="478" customFormat="1" ht="12" hidden="1" outlineLevel="1" x14ac:dyDescent="0.25">
      <c r="A49" s="436"/>
      <c r="B49" s="235"/>
      <c r="C49" s="505" t="s">
        <v>6</v>
      </c>
      <c r="D49" s="505" t="s">
        <v>26</v>
      </c>
      <c r="E49" s="496"/>
      <c r="F49" s="499"/>
      <c r="G49" s="504"/>
      <c r="H49" s="500"/>
      <c r="I49" s="499"/>
      <c r="J49" s="499"/>
      <c r="K49" s="470"/>
      <c r="L49" s="503"/>
      <c r="M49" s="481"/>
      <c r="N49" s="501">
        <f>N48</f>
        <v>1166282.9999999998</v>
      </c>
      <c r="O49" s="501">
        <f>O48</f>
        <v>1306236.96</v>
      </c>
      <c r="P49" s="501">
        <f>N49</f>
        <v>1166282.9999999998</v>
      </c>
      <c r="Q49" s="501">
        <f>O49</f>
        <v>1306236.96</v>
      </c>
      <c r="R49" s="432"/>
      <c r="S49" s="500"/>
      <c r="T49" s="487"/>
      <c r="U49" s="487"/>
      <c r="V49" s="487"/>
      <c r="W49" s="487"/>
      <c r="X49" s="487"/>
      <c r="Y49" s="487"/>
      <c r="Z49" s="499"/>
      <c r="AA49" s="499"/>
      <c r="AB49" s="499"/>
      <c r="AC49" s="499"/>
      <c r="AD49" s="499"/>
      <c r="AE49" s="499"/>
      <c r="AF49" s="499">
        <f>Z49+AC49+W49+T49</f>
        <v>0</v>
      </c>
      <c r="AG49" s="499">
        <f>AA49+AD49+X49+U49</f>
        <v>0</v>
      </c>
      <c r="AH49" s="499"/>
      <c r="AI49" s="499"/>
      <c r="AJ49" s="499">
        <f>AI49*1.12</f>
        <v>0</v>
      </c>
      <c r="AK49" s="499"/>
      <c r="AL49" s="499"/>
      <c r="AM49" s="496">
        <f>AL49*1.12</f>
        <v>0</v>
      </c>
      <c r="AN49" s="499"/>
      <c r="AO49" s="496">
        <f>AL49-AI49</f>
        <v>0</v>
      </c>
      <c r="AP49" s="496">
        <f>AM49-AJ49</f>
        <v>0</v>
      </c>
      <c r="AQ49" s="496"/>
      <c r="AR49" s="498" t="str">
        <f>IF(AI49=0,"",AL49/AI49)</f>
        <v/>
      </c>
      <c r="AS49" s="497"/>
      <c r="AT49" s="497"/>
      <c r="AU49" s="497"/>
      <c r="AV49" s="496">
        <f>AV48</f>
        <v>0</v>
      </c>
      <c r="AW49" s="496">
        <f>AV49*1.12</f>
        <v>0</v>
      </c>
      <c r="AX49" s="496"/>
      <c r="AY49" s="496"/>
      <c r="AZ49" s="496"/>
      <c r="BA49" s="496"/>
      <c r="BB49" s="496"/>
      <c r="BC49" s="496"/>
      <c r="BD49" s="496"/>
      <c r="BE49" s="496"/>
      <c r="BF49" s="496"/>
      <c r="BG49" s="496"/>
      <c r="BH49" s="496"/>
      <c r="BI49" s="496"/>
      <c r="BJ49" s="496"/>
      <c r="BK49" s="496"/>
      <c r="BL49" s="496"/>
      <c r="BM49" s="495"/>
      <c r="BN49" s="494"/>
      <c r="BO49" s="494"/>
      <c r="BP49" s="494"/>
      <c r="BQ49" s="494"/>
      <c r="BR49" s="494"/>
      <c r="BS49" s="494"/>
      <c r="BT49" s="494"/>
      <c r="BW49" s="480"/>
      <c r="BX49" s="479"/>
    </row>
    <row r="50" spans="1:76" s="478" customFormat="1" ht="12" hidden="1" outlineLevel="1" x14ac:dyDescent="0.25">
      <c r="A50" s="436"/>
      <c r="B50" s="235"/>
      <c r="C50" s="493" t="s">
        <v>6</v>
      </c>
      <c r="D50" s="493" t="s">
        <v>5</v>
      </c>
      <c r="E50" s="483"/>
      <c r="F50" s="486"/>
      <c r="G50" s="492"/>
      <c r="H50" s="488"/>
      <c r="I50" s="486"/>
      <c r="J50" s="486"/>
      <c r="K50" s="470"/>
      <c r="L50" s="491"/>
      <c r="M50" s="481"/>
      <c r="N50" s="489">
        <f>N49</f>
        <v>1166282.9999999998</v>
      </c>
      <c r="O50" s="489">
        <f>O49</f>
        <v>1306236.96</v>
      </c>
      <c r="P50" s="489">
        <f>N50</f>
        <v>1166282.9999999998</v>
      </c>
      <c r="Q50" s="489">
        <f>O50</f>
        <v>1306236.96</v>
      </c>
      <c r="R50" s="432"/>
      <c r="S50" s="488"/>
      <c r="T50" s="487"/>
      <c r="U50" s="487"/>
      <c r="V50" s="487"/>
      <c r="W50" s="487"/>
      <c r="X50" s="487"/>
      <c r="Y50" s="487"/>
      <c r="Z50" s="486"/>
      <c r="AA50" s="486"/>
      <c r="AB50" s="486"/>
      <c r="AC50" s="486"/>
      <c r="AD50" s="486"/>
      <c r="AE50" s="486"/>
      <c r="AF50" s="486">
        <f>Z50+AC50+W50+T50</f>
        <v>0</v>
      </c>
      <c r="AG50" s="486">
        <f>AA50+AD50+X50+U50</f>
        <v>0</v>
      </c>
      <c r="AH50" s="486"/>
      <c r="AI50" s="486"/>
      <c r="AJ50" s="486">
        <f>AI50*1.12</f>
        <v>0</v>
      </c>
      <c r="AK50" s="486"/>
      <c r="AL50" s="486"/>
      <c r="AM50" s="483">
        <f>AL50*1.12</f>
        <v>0</v>
      </c>
      <c r="AN50" s="486"/>
      <c r="AO50" s="483">
        <f>AL50-AI50</f>
        <v>0</v>
      </c>
      <c r="AP50" s="483">
        <f>AM50-AJ50</f>
        <v>0</v>
      </c>
      <c r="AQ50" s="483"/>
      <c r="AR50" s="485" t="str">
        <f>IF(AI50=0,"",AL50/AI50)</f>
        <v/>
      </c>
      <c r="AS50" s="484"/>
      <c r="AT50" s="484"/>
      <c r="AU50" s="484"/>
      <c r="AV50" s="483">
        <f>AV49</f>
        <v>0</v>
      </c>
      <c r="AW50" s="483">
        <f>AV50*1.12</f>
        <v>0</v>
      </c>
      <c r="AX50" s="483"/>
      <c r="AY50" s="483"/>
      <c r="AZ50" s="483"/>
      <c r="BA50" s="483"/>
      <c r="BB50" s="483"/>
      <c r="BC50" s="483"/>
      <c r="BD50" s="483"/>
      <c r="BE50" s="483"/>
      <c r="BF50" s="483"/>
      <c r="BG50" s="483"/>
      <c r="BH50" s="483"/>
      <c r="BI50" s="483"/>
      <c r="BJ50" s="483"/>
      <c r="BK50" s="483"/>
      <c r="BL50" s="483"/>
      <c r="BM50" s="482"/>
      <c r="BN50" s="481"/>
      <c r="BO50" s="481"/>
      <c r="BP50" s="481"/>
      <c r="BQ50" s="481"/>
      <c r="BR50" s="481"/>
      <c r="BS50" s="481"/>
      <c r="BT50" s="481"/>
      <c r="BW50" s="480"/>
      <c r="BX50" s="479"/>
    </row>
    <row r="51" spans="1:76" s="478" customFormat="1" ht="12" hidden="1" outlineLevel="1" x14ac:dyDescent="0.25">
      <c r="A51" s="436"/>
      <c r="B51" s="235"/>
      <c r="C51" s="505" t="s">
        <v>9</v>
      </c>
      <c r="D51" s="505" t="s">
        <v>8</v>
      </c>
      <c r="E51" s="496"/>
      <c r="F51" s="499"/>
      <c r="G51" s="511"/>
      <c r="H51" s="508"/>
      <c r="I51" s="499"/>
      <c r="J51" s="499"/>
      <c r="K51" s="470"/>
      <c r="L51" s="510" t="s">
        <v>151</v>
      </c>
      <c r="M51" s="481"/>
      <c r="N51" s="501">
        <f>O51/1.12</f>
        <v>1943805</v>
      </c>
      <c r="O51" s="501">
        <f>435412.32*S51</f>
        <v>2177061.6</v>
      </c>
      <c r="P51" s="501">
        <f>N51</f>
        <v>1943805</v>
      </c>
      <c r="Q51" s="501">
        <f>O51</f>
        <v>2177061.6</v>
      </c>
      <c r="R51" s="432"/>
      <c r="S51" s="508">
        <v>5</v>
      </c>
      <c r="T51" s="487"/>
      <c r="U51" s="487"/>
      <c r="V51" s="487"/>
      <c r="W51" s="487"/>
      <c r="X51" s="487"/>
      <c r="Y51" s="487"/>
      <c r="Z51" s="499"/>
      <c r="AA51" s="499"/>
      <c r="AB51" s="499"/>
      <c r="AC51" s="499"/>
      <c r="AD51" s="499"/>
      <c r="AE51" s="499"/>
      <c r="AF51" s="499">
        <f>Z51+AC51+W51+T51</f>
        <v>0</v>
      </c>
      <c r="AG51" s="499">
        <f>AA51+AD51+X51+U51</f>
        <v>0</v>
      </c>
      <c r="AH51" s="499"/>
      <c r="AI51" s="499"/>
      <c r="AJ51" s="499">
        <f>AI51*1.12</f>
        <v>0</v>
      </c>
      <c r="AK51" s="499"/>
      <c r="AL51" s="507">
        <f>ROUND(P51/1000,0)</f>
        <v>1944</v>
      </c>
      <c r="AM51" s="496">
        <f>AL51*1.12</f>
        <v>2177.2800000000002</v>
      </c>
      <c r="AN51" s="507">
        <v>5</v>
      </c>
      <c r="AO51" s="496">
        <f>AL51-AI51</f>
        <v>1944</v>
      </c>
      <c r="AP51" s="496">
        <f>AM51-AJ51</f>
        <v>2177.2800000000002</v>
      </c>
      <c r="AQ51" s="496"/>
      <c r="AR51" s="498" t="str">
        <f>IF(AI51=0,"",AL51/AI51)</f>
        <v/>
      </c>
      <c r="AS51" s="497"/>
      <c r="AT51" s="497"/>
      <c r="AU51" s="497"/>
      <c r="AV51" s="496"/>
      <c r="AW51" s="496">
        <f>AV51</f>
        <v>0</v>
      </c>
      <c r="AX51" s="496"/>
      <c r="AY51" s="496"/>
      <c r="AZ51" s="496"/>
      <c r="BA51" s="496"/>
      <c r="BB51" s="496"/>
      <c r="BC51" s="496"/>
      <c r="BD51" s="496"/>
      <c r="BE51" s="496"/>
      <c r="BF51" s="496"/>
      <c r="BG51" s="496"/>
      <c r="BH51" s="496"/>
      <c r="BI51" s="496"/>
      <c r="BJ51" s="496"/>
      <c r="BK51" s="496"/>
      <c r="BL51" s="496"/>
      <c r="BM51" s="506" t="s">
        <v>136</v>
      </c>
      <c r="BN51" s="494"/>
      <c r="BO51" s="494"/>
      <c r="BP51" s="494"/>
      <c r="BQ51" s="494"/>
      <c r="BR51" s="494"/>
      <c r="BS51" s="494"/>
      <c r="BT51" s="494"/>
      <c r="BW51" s="480"/>
      <c r="BX51" s="479"/>
    </row>
    <row r="52" spans="1:76" s="478" customFormat="1" ht="12" hidden="1" outlineLevel="1" x14ac:dyDescent="0.25">
      <c r="A52" s="436"/>
      <c r="B52" s="235"/>
      <c r="C52" s="505" t="s">
        <v>6</v>
      </c>
      <c r="D52" s="505" t="s">
        <v>26</v>
      </c>
      <c r="E52" s="496"/>
      <c r="F52" s="499"/>
      <c r="G52" s="504"/>
      <c r="H52" s="500"/>
      <c r="I52" s="499"/>
      <c r="J52" s="499"/>
      <c r="K52" s="470"/>
      <c r="L52" s="503"/>
      <c r="M52" s="481"/>
      <c r="N52" s="501">
        <f>N51</f>
        <v>1943805</v>
      </c>
      <c r="O52" s="501">
        <f>O51</f>
        <v>2177061.6</v>
      </c>
      <c r="P52" s="501">
        <f>N52</f>
        <v>1943805</v>
      </c>
      <c r="Q52" s="501">
        <f>O52</f>
        <v>2177061.6</v>
      </c>
      <c r="R52" s="432"/>
      <c r="S52" s="500"/>
      <c r="T52" s="487"/>
      <c r="U52" s="487"/>
      <c r="V52" s="487"/>
      <c r="W52" s="487"/>
      <c r="X52" s="487"/>
      <c r="Y52" s="487"/>
      <c r="Z52" s="499"/>
      <c r="AA52" s="499"/>
      <c r="AB52" s="499"/>
      <c r="AC52" s="499"/>
      <c r="AD52" s="499"/>
      <c r="AE52" s="499"/>
      <c r="AF52" s="499">
        <f>Z52+AC52+W52+T52</f>
        <v>0</v>
      </c>
      <c r="AG52" s="499">
        <f>AA52+AD52+X52+U52</f>
        <v>0</v>
      </c>
      <c r="AH52" s="499"/>
      <c r="AI52" s="499"/>
      <c r="AJ52" s="499">
        <f>AI52*1.12</f>
        <v>0</v>
      </c>
      <c r="AK52" s="499"/>
      <c r="AL52" s="499"/>
      <c r="AM52" s="496">
        <f>AL52*1.12</f>
        <v>0</v>
      </c>
      <c r="AN52" s="499"/>
      <c r="AO52" s="496">
        <f>AL52-AI52</f>
        <v>0</v>
      </c>
      <c r="AP52" s="496">
        <f>AM52-AJ52</f>
        <v>0</v>
      </c>
      <c r="AQ52" s="496"/>
      <c r="AR52" s="498" t="str">
        <f>IF(AI52=0,"",AL52/AI52)</f>
        <v/>
      </c>
      <c r="AS52" s="497"/>
      <c r="AT52" s="497"/>
      <c r="AU52" s="497"/>
      <c r="AV52" s="496">
        <f>AV51</f>
        <v>0</v>
      </c>
      <c r="AW52" s="496">
        <f>AV52*1.12</f>
        <v>0</v>
      </c>
      <c r="AX52" s="496"/>
      <c r="AY52" s="496"/>
      <c r="AZ52" s="496"/>
      <c r="BA52" s="496"/>
      <c r="BB52" s="496"/>
      <c r="BC52" s="496"/>
      <c r="BD52" s="496"/>
      <c r="BE52" s="496"/>
      <c r="BF52" s="496"/>
      <c r="BG52" s="496"/>
      <c r="BH52" s="496"/>
      <c r="BI52" s="496"/>
      <c r="BJ52" s="496"/>
      <c r="BK52" s="496"/>
      <c r="BL52" s="496"/>
      <c r="BM52" s="495"/>
      <c r="BN52" s="494"/>
      <c r="BO52" s="494"/>
      <c r="BP52" s="494"/>
      <c r="BQ52" s="494"/>
      <c r="BR52" s="494"/>
      <c r="BS52" s="494"/>
      <c r="BT52" s="494"/>
      <c r="BW52" s="480"/>
      <c r="BX52" s="479"/>
    </row>
    <row r="53" spans="1:76" s="478" customFormat="1" ht="12" hidden="1" outlineLevel="1" x14ac:dyDescent="0.25">
      <c r="A53" s="436"/>
      <c r="B53" s="235"/>
      <c r="C53" s="493" t="s">
        <v>6</v>
      </c>
      <c r="D53" s="493" t="s">
        <v>5</v>
      </c>
      <c r="E53" s="483"/>
      <c r="F53" s="486"/>
      <c r="G53" s="492"/>
      <c r="H53" s="488"/>
      <c r="I53" s="486"/>
      <c r="J53" s="486"/>
      <c r="K53" s="470"/>
      <c r="L53" s="491"/>
      <c r="M53" s="481"/>
      <c r="N53" s="489">
        <f>N52</f>
        <v>1943805</v>
      </c>
      <c r="O53" s="489">
        <f>O52</f>
        <v>2177061.6</v>
      </c>
      <c r="P53" s="489">
        <f>N53</f>
        <v>1943805</v>
      </c>
      <c r="Q53" s="489">
        <f>O53</f>
        <v>2177061.6</v>
      </c>
      <c r="R53" s="432"/>
      <c r="S53" s="488"/>
      <c r="T53" s="487"/>
      <c r="U53" s="487"/>
      <c r="V53" s="487"/>
      <c r="W53" s="487"/>
      <c r="X53" s="487"/>
      <c r="Y53" s="487"/>
      <c r="Z53" s="486"/>
      <c r="AA53" s="486"/>
      <c r="AB53" s="486"/>
      <c r="AC53" s="486"/>
      <c r="AD53" s="486"/>
      <c r="AE53" s="486"/>
      <c r="AF53" s="486">
        <f>Z53+AC53+W53+T53</f>
        <v>0</v>
      </c>
      <c r="AG53" s="486">
        <f>AA53+AD53+X53+U53</f>
        <v>0</v>
      </c>
      <c r="AH53" s="486"/>
      <c r="AI53" s="486"/>
      <c r="AJ53" s="486">
        <f>AI53*1.12</f>
        <v>0</v>
      </c>
      <c r="AK53" s="486"/>
      <c r="AL53" s="486"/>
      <c r="AM53" s="483">
        <f>AL53*1.12</f>
        <v>0</v>
      </c>
      <c r="AN53" s="486"/>
      <c r="AO53" s="483">
        <f>AL53-AI53</f>
        <v>0</v>
      </c>
      <c r="AP53" s="483">
        <f>AM53-AJ53</f>
        <v>0</v>
      </c>
      <c r="AQ53" s="483"/>
      <c r="AR53" s="485" t="str">
        <f>IF(AI53=0,"",AL53/AI53)</f>
        <v/>
      </c>
      <c r="AS53" s="484"/>
      <c r="AT53" s="484"/>
      <c r="AU53" s="484"/>
      <c r="AV53" s="483">
        <f>AV52</f>
        <v>0</v>
      </c>
      <c r="AW53" s="483">
        <f>AV53*1.12</f>
        <v>0</v>
      </c>
      <c r="AX53" s="483"/>
      <c r="AY53" s="483"/>
      <c r="AZ53" s="483"/>
      <c r="BA53" s="483"/>
      <c r="BB53" s="483"/>
      <c r="BC53" s="483"/>
      <c r="BD53" s="483"/>
      <c r="BE53" s="483"/>
      <c r="BF53" s="483"/>
      <c r="BG53" s="483"/>
      <c r="BH53" s="483"/>
      <c r="BI53" s="483"/>
      <c r="BJ53" s="483"/>
      <c r="BK53" s="483"/>
      <c r="BL53" s="483"/>
      <c r="BM53" s="482"/>
      <c r="BN53" s="481"/>
      <c r="BO53" s="481"/>
      <c r="BP53" s="481"/>
      <c r="BQ53" s="481"/>
      <c r="BR53" s="481"/>
      <c r="BS53" s="481"/>
      <c r="BT53" s="481"/>
      <c r="BW53" s="480"/>
      <c r="BX53" s="479"/>
    </row>
    <row r="54" spans="1:76" s="478" customFormat="1" ht="12" hidden="1" outlineLevel="1" x14ac:dyDescent="0.25">
      <c r="A54" s="436"/>
      <c r="B54" s="235"/>
      <c r="C54" s="505" t="s">
        <v>9</v>
      </c>
      <c r="D54" s="505" t="s">
        <v>8</v>
      </c>
      <c r="E54" s="496"/>
      <c r="F54" s="499"/>
      <c r="G54" s="511"/>
      <c r="H54" s="508"/>
      <c r="I54" s="499"/>
      <c r="J54" s="499"/>
      <c r="K54" s="470"/>
      <c r="L54" s="510" t="s">
        <v>150</v>
      </c>
      <c r="M54" s="481"/>
      <c r="N54" s="501">
        <f>O54/1.12</f>
        <v>1166282.9999999998</v>
      </c>
      <c r="O54" s="501">
        <f>435412.32*S54</f>
        <v>1306236.96</v>
      </c>
      <c r="P54" s="501">
        <f>N54</f>
        <v>1166282.9999999998</v>
      </c>
      <c r="Q54" s="501">
        <f>O54</f>
        <v>1306236.96</v>
      </c>
      <c r="R54" s="432"/>
      <c r="S54" s="508">
        <v>3</v>
      </c>
      <c r="T54" s="487"/>
      <c r="U54" s="487"/>
      <c r="V54" s="487"/>
      <c r="W54" s="487"/>
      <c r="X54" s="487"/>
      <c r="Y54" s="487"/>
      <c r="Z54" s="499"/>
      <c r="AA54" s="499"/>
      <c r="AB54" s="499"/>
      <c r="AC54" s="499"/>
      <c r="AD54" s="499"/>
      <c r="AE54" s="499"/>
      <c r="AF54" s="499">
        <f>Z54+AC54+W54+T54</f>
        <v>0</v>
      </c>
      <c r="AG54" s="499">
        <f>AA54+AD54+X54+U54</f>
        <v>0</v>
      </c>
      <c r="AH54" s="499"/>
      <c r="AI54" s="499"/>
      <c r="AJ54" s="499">
        <f>AI54*1.12</f>
        <v>0</v>
      </c>
      <c r="AK54" s="499"/>
      <c r="AL54" s="507">
        <f>ROUND(P54/1000,0)</f>
        <v>1166</v>
      </c>
      <c r="AM54" s="496">
        <f>AL54*1.12</f>
        <v>1305.92</v>
      </c>
      <c r="AN54" s="507">
        <v>3</v>
      </c>
      <c r="AO54" s="496">
        <f>AL54-AI54</f>
        <v>1166</v>
      </c>
      <c r="AP54" s="496">
        <f>AM54-AJ54</f>
        <v>1305.92</v>
      </c>
      <c r="AQ54" s="496"/>
      <c r="AR54" s="498" t="str">
        <f>IF(AI54=0,"",AL54/AI54)</f>
        <v/>
      </c>
      <c r="AS54" s="497"/>
      <c r="AT54" s="497"/>
      <c r="AU54" s="497"/>
      <c r="AV54" s="496"/>
      <c r="AW54" s="496">
        <f>AV54</f>
        <v>0</v>
      </c>
      <c r="AX54" s="496"/>
      <c r="AY54" s="496"/>
      <c r="AZ54" s="496"/>
      <c r="BA54" s="496"/>
      <c r="BB54" s="496"/>
      <c r="BC54" s="496"/>
      <c r="BD54" s="496"/>
      <c r="BE54" s="496"/>
      <c r="BF54" s="496"/>
      <c r="BG54" s="496"/>
      <c r="BH54" s="496"/>
      <c r="BI54" s="496"/>
      <c r="BJ54" s="496"/>
      <c r="BK54" s="496"/>
      <c r="BL54" s="496"/>
      <c r="BM54" s="506" t="s">
        <v>149</v>
      </c>
      <c r="BN54" s="494"/>
      <c r="BO54" s="494"/>
      <c r="BP54" s="494"/>
      <c r="BQ54" s="494"/>
      <c r="BR54" s="494"/>
      <c r="BS54" s="494"/>
      <c r="BT54" s="494"/>
      <c r="BW54" s="480"/>
      <c r="BX54" s="479"/>
    </row>
    <row r="55" spans="1:76" s="478" customFormat="1" ht="12" hidden="1" outlineLevel="1" x14ac:dyDescent="0.25">
      <c r="A55" s="436"/>
      <c r="B55" s="235"/>
      <c r="C55" s="505" t="s">
        <v>6</v>
      </c>
      <c r="D55" s="505" t="s">
        <v>26</v>
      </c>
      <c r="E55" s="496"/>
      <c r="F55" s="499"/>
      <c r="G55" s="504"/>
      <c r="H55" s="500"/>
      <c r="I55" s="499"/>
      <c r="J55" s="499"/>
      <c r="K55" s="470"/>
      <c r="L55" s="503"/>
      <c r="M55" s="481"/>
      <c r="N55" s="501">
        <f>N54</f>
        <v>1166282.9999999998</v>
      </c>
      <c r="O55" s="501">
        <f>O54</f>
        <v>1306236.96</v>
      </c>
      <c r="P55" s="501">
        <f>N55</f>
        <v>1166282.9999999998</v>
      </c>
      <c r="Q55" s="501">
        <f>O55</f>
        <v>1306236.96</v>
      </c>
      <c r="R55" s="432"/>
      <c r="S55" s="500"/>
      <c r="T55" s="487"/>
      <c r="U55" s="487"/>
      <c r="V55" s="487"/>
      <c r="W55" s="487"/>
      <c r="X55" s="487"/>
      <c r="Y55" s="487"/>
      <c r="Z55" s="499"/>
      <c r="AA55" s="499"/>
      <c r="AB55" s="499"/>
      <c r="AC55" s="499"/>
      <c r="AD55" s="499"/>
      <c r="AE55" s="499"/>
      <c r="AF55" s="499">
        <f>Z55+AC55+W55+T55</f>
        <v>0</v>
      </c>
      <c r="AG55" s="499">
        <f>AA55+AD55+X55+U55</f>
        <v>0</v>
      </c>
      <c r="AH55" s="499"/>
      <c r="AI55" s="499"/>
      <c r="AJ55" s="499">
        <f>AI55*1.12</f>
        <v>0</v>
      </c>
      <c r="AK55" s="499"/>
      <c r="AL55" s="499"/>
      <c r="AM55" s="496">
        <f>AL55*1.12</f>
        <v>0</v>
      </c>
      <c r="AN55" s="499"/>
      <c r="AO55" s="496">
        <f>AL55-AI55</f>
        <v>0</v>
      </c>
      <c r="AP55" s="496">
        <f>AM55-AJ55</f>
        <v>0</v>
      </c>
      <c r="AQ55" s="496"/>
      <c r="AR55" s="498" t="str">
        <f>IF(AI55=0,"",AL55/AI55)</f>
        <v/>
      </c>
      <c r="AS55" s="497"/>
      <c r="AT55" s="497"/>
      <c r="AU55" s="497"/>
      <c r="AV55" s="496">
        <f>AV54</f>
        <v>0</v>
      </c>
      <c r="AW55" s="496">
        <f>AV55*1.12</f>
        <v>0</v>
      </c>
      <c r="AX55" s="496"/>
      <c r="AY55" s="496"/>
      <c r="AZ55" s="496"/>
      <c r="BA55" s="496"/>
      <c r="BB55" s="496"/>
      <c r="BC55" s="496"/>
      <c r="BD55" s="496"/>
      <c r="BE55" s="496"/>
      <c r="BF55" s="496"/>
      <c r="BG55" s="496"/>
      <c r="BH55" s="496"/>
      <c r="BI55" s="496"/>
      <c r="BJ55" s="496"/>
      <c r="BK55" s="496"/>
      <c r="BL55" s="496"/>
      <c r="BM55" s="495"/>
      <c r="BN55" s="494"/>
      <c r="BO55" s="494"/>
      <c r="BP55" s="494"/>
      <c r="BQ55" s="494"/>
      <c r="BR55" s="494"/>
      <c r="BS55" s="494"/>
      <c r="BT55" s="494"/>
      <c r="BW55" s="480"/>
      <c r="BX55" s="479"/>
    </row>
    <row r="56" spans="1:76" s="478" customFormat="1" ht="12" hidden="1" outlineLevel="1" x14ac:dyDescent="0.25">
      <c r="A56" s="436"/>
      <c r="B56" s="235"/>
      <c r="C56" s="493" t="s">
        <v>6</v>
      </c>
      <c r="D56" s="493" t="s">
        <v>5</v>
      </c>
      <c r="E56" s="483"/>
      <c r="F56" s="486"/>
      <c r="G56" s="492"/>
      <c r="H56" s="488"/>
      <c r="I56" s="486"/>
      <c r="J56" s="486"/>
      <c r="K56" s="468"/>
      <c r="L56" s="491"/>
      <c r="M56" s="481"/>
      <c r="N56" s="489">
        <f>N55</f>
        <v>1166282.9999999998</v>
      </c>
      <c r="O56" s="489">
        <f>O55</f>
        <v>1306236.96</v>
      </c>
      <c r="P56" s="489">
        <f>N56</f>
        <v>1166282.9999999998</v>
      </c>
      <c r="Q56" s="489">
        <f>O56</f>
        <v>1306236.96</v>
      </c>
      <c r="R56" s="423"/>
      <c r="S56" s="488"/>
      <c r="T56" s="487"/>
      <c r="U56" s="487"/>
      <c r="V56" s="487"/>
      <c r="W56" s="487"/>
      <c r="X56" s="487"/>
      <c r="Y56" s="487"/>
      <c r="Z56" s="486"/>
      <c r="AA56" s="486"/>
      <c r="AB56" s="486"/>
      <c r="AC56" s="486"/>
      <c r="AD56" s="486"/>
      <c r="AE56" s="486"/>
      <c r="AF56" s="486">
        <f>Z56+AC56+W56+T56</f>
        <v>0</v>
      </c>
      <c r="AG56" s="486">
        <f>AA56+AD56+X56+U56</f>
        <v>0</v>
      </c>
      <c r="AH56" s="486"/>
      <c r="AI56" s="486"/>
      <c r="AJ56" s="486">
        <f>AI56*1.12</f>
        <v>0</v>
      </c>
      <c r="AK56" s="486"/>
      <c r="AL56" s="486"/>
      <c r="AM56" s="483">
        <f>AL56*1.12</f>
        <v>0</v>
      </c>
      <c r="AN56" s="486"/>
      <c r="AO56" s="483">
        <f>AL56-AI56</f>
        <v>0</v>
      </c>
      <c r="AP56" s="483">
        <f>AM56-AJ56</f>
        <v>0</v>
      </c>
      <c r="AQ56" s="483"/>
      <c r="AR56" s="485" t="str">
        <f>IF(AI56=0,"",AL56/AI56)</f>
        <v/>
      </c>
      <c r="AS56" s="484"/>
      <c r="AT56" s="484"/>
      <c r="AU56" s="484"/>
      <c r="AV56" s="483">
        <f>AV55</f>
        <v>0</v>
      </c>
      <c r="AW56" s="483">
        <f>AV56*1.12</f>
        <v>0</v>
      </c>
      <c r="AX56" s="483"/>
      <c r="AY56" s="483"/>
      <c r="AZ56" s="483"/>
      <c r="BA56" s="483"/>
      <c r="BB56" s="483"/>
      <c r="BC56" s="483"/>
      <c r="BD56" s="483"/>
      <c r="BE56" s="483"/>
      <c r="BF56" s="483"/>
      <c r="BG56" s="483"/>
      <c r="BH56" s="483"/>
      <c r="BI56" s="483"/>
      <c r="BJ56" s="483"/>
      <c r="BK56" s="483"/>
      <c r="BL56" s="483"/>
      <c r="BM56" s="482"/>
      <c r="BN56" s="481"/>
      <c r="BO56" s="481"/>
      <c r="BP56" s="481"/>
      <c r="BQ56" s="481"/>
      <c r="BR56" s="481"/>
      <c r="BS56" s="481"/>
      <c r="BT56" s="481"/>
      <c r="BW56" s="480"/>
      <c r="BX56" s="479"/>
    </row>
    <row r="57" spans="1:76" s="320" customFormat="1" ht="18" customHeight="1" collapsed="1" x14ac:dyDescent="0.25">
      <c r="A57" s="436"/>
      <c r="B57" s="235"/>
      <c r="C57" s="70" t="s">
        <v>9</v>
      </c>
      <c r="D57" s="70" t="s">
        <v>8</v>
      </c>
      <c r="E57" s="64"/>
      <c r="F57" s="117"/>
      <c r="G57" s="441"/>
      <c r="H57" s="437"/>
      <c r="I57" s="117"/>
      <c r="J57" s="117"/>
      <c r="K57" s="472" t="s">
        <v>157</v>
      </c>
      <c r="L57" s="237" t="s">
        <v>156</v>
      </c>
      <c r="M57" s="439" t="s">
        <v>13</v>
      </c>
      <c r="N57" s="332">
        <f>O57/1.12</f>
        <v>2733334.9999999995</v>
      </c>
      <c r="O57" s="332">
        <f>O60+O63+O66+O69+O72+O75+O81+O78</f>
        <v>3061335.1999999997</v>
      </c>
      <c r="P57" s="332">
        <f>N57</f>
        <v>2733334.9999999995</v>
      </c>
      <c r="Q57" s="332">
        <f>O57</f>
        <v>3061335.1999999997</v>
      </c>
      <c r="R57" s="438" t="s">
        <v>87</v>
      </c>
      <c r="S57" s="437">
        <f>S60+S63+S66+S69+S72+S75+S78+S81</f>
        <v>192</v>
      </c>
      <c r="T57" s="312"/>
      <c r="U57" s="312"/>
      <c r="V57" s="312"/>
      <c r="W57" s="312"/>
      <c r="X57" s="312"/>
      <c r="Y57" s="312"/>
      <c r="Z57" s="117"/>
      <c r="AA57" s="117"/>
      <c r="AB57" s="117"/>
      <c r="AC57" s="117"/>
      <c r="AD57" s="117"/>
      <c r="AE57" s="117"/>
      <c r="AF57" s="117">
        <f>Z57+AC57+W57+T57</f>
        <v>0</v>
      </c>
      <c r="AG57" s="117">
        <f>AA57+AD57+X57+U57</f>
        <v>0</v>
      </c>
      <c r="AH57" s="117"/>
      <c r="AI57" s="117">
        <v>4147</v>
      </c>
      <c r="AJ57" s="117">
        <f>AI57*1.12</f>
        <v>4644.6400000000003</v>
      </c>
      <c r="AK57" s="117"/>
      <c r="AL57" s="117">
        <f>AL60+AL63+AL66+AL69+AL72+AL75+AL81+AL78</f>
        <v>2733</v>
      </c>
      <c r="AM57" s="64">
        <f>AL57*1.12</f>
        <v>3060.9600000000005</v>
      </c>
      <c r="AN57" s="117"/>
      <c r="AO57" s="64">
        <f>AL57-AI57</f>
        <v>-1414</v>
      </c>
      <c r="AP57" s="64">
        <f>AM57-AJ57</f>
        <v>-1583.6799999999998</v>
      </c>
      <c r="AQ57" s="64"/>
      <c r="AR57" s="43">
        <f>IF(AI57=0,"",AL57/AI57)</f>
        <v>0.65903062454786587</v>
      </c>
      <c r="AS57" s="115"/>
      <c r="AT57" s="115"/>
      <c r="AU57" s="115"/>
      <c r="AV57" s="64"/>
      <c r="AW57" s="64">
        <f>AV57</f>
        <v>0</v>
      </c>
      <c r="AX57" s="64"/>
      <c r="AY57" s="64"/>
      <c r="AZ57" s="64">
        <f>AL57-AI57</f>
        <v>-1414</v>
      </c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477" t="s">
        <v>155</v>
      </c>
      <c r="BN57" s="138"/>
      <c r="BO57" s="138"/>
      <c r="BP57" s="138"/>
      <c r="BQ57" s="138"/>
      <c r="BR57" s="138"/>
      <c r="BS57" s="138"/>
      <c r="BT57" s="138"/>
      <c r="BW57" s="322"/>
      <c r="BX57" s="321"/>
    </row>
    <row r="58" spans="1:76" s="320" customFormat="1" ht="18" customHeight="1" x14ac:dyDescent="0.25">
      <c r="A58" s="436"/>
      <c r="B58" s="235"/>
      <c r="C58" s="70" t="s">
        <v>6</v>
      </c>
      <c r="D58" s="70" t="s">
        <v>26</v>
      </c>
      <c r="E58" s="64"/>
      <c r="F58" s="117"/>
      <c r="G58" s="435"/>
      <c r="H58" s="431"/>
      <c r="I58" s="117"/>
      <c r="J58" s="117"/>
      <c r="K58" s="470"/>
      <c r="L58" s="235"/>
      <c r="M58" s="433"/>
      <c r="N58" s="332">
        <f>N57</f>
        <v>2733334.9999999995</v>
      </c>
      <c r="O58" s="332">
        <f>O57</f>
        <v>3061335.1999999997</v>
      </c>
      <c r="P58" s="332">
        <f>N58</f>
        <v>2733334.9999999995</v>
      </c>
      <c r="Q58" s="332">
        <f>O58</f>
        <v>3061335.1999999997</v>
      </c>
      <c r="R58" s="432"/>
      <c r="S58" s="431"/>
      <c r="T58" s="312"/>
      <c r="U58" s="312"/>
      <c r="V58" s="312"/>
      <c r="W58" s="312"/>
      <c r="X58" s="312"/>
      <c r="Y58" s="312"/>
      <c r="Z58" s="117"/>
      <c r="AA58" s="117"/>
      <c r="AB58" s="117"/>
      <c r="AC58" s="117"/>
      <c r="AD58" s="117"/>
      <c r="AE58" s="117"/>
      <c r="AF58" s="117">
        <f>Z58+AC58+W58+T58</f>
        <v>0</v>
      </c>
      <c r="AG58" s="117">
        <f>AA58+AD58+X58+U58</f>
        <v>0</v>
      </c>
      <c r="AH58" s="117"/>
      <c r="AI58" s="117">
        <f>AI57</f>
        <v>4147</v>
      </c>
      <c r="AJ58" s="117">
        <f>AI58*1.12</f>
        <v>4644.6400000000003</v>
      </c>
      <c r="AK58" s="117"/>
      <c r="AL58" s="127">
        <f>1592.5336/1.12+1468.8016/1.12</f>
        <v>2733.3349999999996</v>
      </c>
      <c r="AM58" s="64">
        <f>AL58*1.12</f>
        <v>3061.3352</v>
      </c>
      <c r="AN58" s="117"/>
      <c r="AO58" s="64">
        <f>AL58-AI58</f>
        <v>-1413.6650000000004</v>
      </c>
      <c r="AP58" s="64">
        <f>AM58-AJ58</f>
        <v>-1583.3048000000003</v>
      </c>
      <c r="AQ58" s="64"/>
      <c r="AR58" s="43">
        <f>IF(AI58=0,"",AL58/AI58)</f>
        <v>0.65911140583554362</v>
      </c>
      <c r="AS58" s="115"/>
      <c r="AT58" s="115">
        <f>AL58</f>
        <v>2733.3349999999996</v>
      </c>
      <c r="AU58" s="115"/>
      <c r="AV58" s="64">
        <f>AV57</f>
        <v>0</v>
      </c>
      <c r="AW58" s="64">
        <f>AV58*1.12</f>
        <v>0</v>
      </c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475"/>
      <c r="BN58" s="138"/>
      <c r="BO58" s="138"/>
      <c r="BP58" s="138"/>
      <c r="BQ58" s="138"/>
      <c r="BR58" s="138"/>
      <c r="BS58" s="138"/>
      <c r="BT58" s="138"/>
      <c r="BW58" s="322"/>
      <c r="BX58" s="321"/>
    </row>
    <row r="59" spans="1:76" s="320" customFormat="1" ht="18" customHeight="1" x14ac:dyDescent="0.25">
      <c r="A59" s="436"/>
      <c r="B59" s="235"/>
      <c r="C59" s="53" t="s">
        <v>6</v>
      </c>
      <c r="D59" s="53" t="s">
        <v>5</v>
      </c>
      <c r="E59" s="44"/>
      <c r="F59" s="103"/>
      <c r="G59" s="426"/>
      <c r="H59" s="422"/>
      <c r="I59" s="103"/>
      <c r="J59" s="103"/>
      <c r="K59" s="470"/>
      <c r="L59" s="233"/>
      <c r="M59" s="424"/>
      <c r="N59" s="325">
        <f>N58</f>
        <v>2733334.9999999995</v>
      </c>
      <c r="O59" s="325">
        <f>O58</f>
        <v>3061335.1999999997</v>
      </c>
      <c r="P59" s="325">
        <f>N59</f>
        <v>2733334.9999999995</v>
      </c>
      <c r="Q59" s="325">
        <f>O59</f>
        <v>3061335.1999999997</v>
      </c>
      <c r="R59" s="432"/>
      <c r="S59" s="422"/>
      <c r="T59" s="312"/>
      <c r="U59" s="312"/>
      <c r="V59" s="312"/>
      <c r="W59" s="312"/>
      <c r="X59" s="312"/>
      <c r="Y59" s="312"/>
      <c r="Z59" s="103"/>
      <c r="AA59" s="103"/>
      <c r="AB59" s="103"/>
      <c r="AC59" s="103"/>
      <c r="AD59" s="103"/>
      <c r="AE59" s="103"/>
      <c r="AF59" s="103">
        <f>Z59+AC59+W59+T59</f>
        <v>0</v>
      </c>
      <c r="AG59" s="103">
        <f>AA59+AD59+X59+U59</f>
        <v>0</v>
      </c>
      <c r="AH59" s="103"/>
      <c r="AI59" s="103">
        <f>AI58</f>
        <v>4147</v>
      </c>
      <c r="AJ59" s="103">
        <f>AI59*1.12</f>
        <v>4644.6400000000003</v>
      </c>
      <c r="AK59" s="103"/>
      <c r="AL59" s="103">
        <f>AL58</f>
        <v>2733.3349999999996</v>
      </c>
      <c r="AM59" s="44">
        <f>AL59*1.12</f>
        <v>3061.3352</v>
      </c>
      <c r="AN59" s="103"/>
      <c r="AO59" s="44">
        <f>AL59-AI59</f>
        <v>-1413.6650000000004</v>
      </c>
      <c r="AP59" s="44">
        <f>AM59-AJ59</f>
        <v>-1583.3048000000003</v>
      </c>
      <c r="AQ59" s="44"/>
      <c r="AR59" s="324">
        <f>IF(AI59=0,"",AL59/AI59)</f>
        <v>0.65911140583554362</v>
      </c>
      <c r="AS59" s="101"/>
      <c r="AT59" s="101">
        <f>AT58</f>
        <v>2733.3349999999996</v>
      </c>
      <c r="AU59" s="101"/>
      <c r="AV59" s="44">
        <f>AV58</f>
        <v>0</v>
      </c>
      <c r="AW59" s="44">
        <f>AV59*1.12</f>
        <v>0</v>
      </c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73"/>
      <c r="BN59" s="131"/>
      <c r="BO59" s="131"/>
      <c r="BP59" s="131"/>
      <c r="BQ59" s="131"/>
      <c r="BR59" s="131"/>
      <c r="BS59" s="131"/>
      <c r="BT59" s="131"/>
      <c r="BW59" s="322"/>
      <c r="BX59" s="321"/>
    </row>
    <row r="60" spans="1:76" s="478" customFormat="1" ht="12" hidden="1" customHeight="1" outlineLevel="1" x14ac:dyDescent="0.25">
      <c r="A60" s="436"/>
      <c r="B60" s="235"/>
      <c r="C60" s="505" t="s">
        <v>9</v>
      </c>
      <c r="D60" s="505" t="s">
        <v>8</v>
      </c>
      <c r="E60" s="496"/>
      <c r="F60" s="499"/>
      <c r="G60" s="511"/>
      <c r="H60" s="508"/>
      <c r="I60" s="499"/>
      <c r="J60" s="499"/>
      <c r="K60" s="470"/>
      <c r="L60" s="510" t="s">
        <v>154</v>
      </c>
      <c r="M60" s="509"/>
      <c r="N60" s="501">
        <f>O60/1.12</f>
        <v>1421904.9999999998</v>
      </c>
      <c r="O60" s="501">
        <f>14610.4*S60</f>
        <v>1592533.5999999999</v>
      </c>
      <c r="P60" s="501">
        <f>N60</f>
        <v>1421904.9999999998</v>
      </c>
      <c r="Q60" s="501">
        <f>O60</f>
        <v>1592533.5999999999</v>
      </c>
      <c r="R60" s="432"/>
      <c r="S60" s="508">
        <f>66+43</f>
        <v>109</v>
      </c>
      <c r="T60" s="487"/>
      <c r="U60" s="487"/>
      <c r="V60" s="487"/>
      <c r="W60" s="487"/>
      <c r="X60" s="487"/>
      <c r="Y60" s="487"/>
      <c r="Z60" s="499"/>
      <c r="AA60" s="499"/>
      <c r="AB60" s="499"/>
      <c r="AC60" s="499"/>
      <c r="AD60" s="499"/>
      <c r="AE60" s="499"/>
      <c r="AF60" s="499">
        <f>Z60+AC60+W60+T60</f>
        <v>0</v>
      </c>
      <c r="AG60" s="499">
        <f>AA60+AD60+X60+U60</f>
        <v>0</v>
      </c>
      <c r="AH60" s="499"/>
      <c r="AI60" s="499"/>
      <c r="AJ60" s="499">
        <f>AI60*1.12</f>
        <v>0</v>
      </c>
      <c r="AK60" s="499"/>
      <c r="AL60" s="507">
        <f>ROUND(P60/1000,0)</f>
        <v>1422</v>
      </c>
      <c r="AM60" s="496">
        <f>AL60*1.12</f>
        <v>1592.64</v>
      </c>
      <c r="AN60" s="507">
        <v>109</v>
      </c>
      <c r="AO60" s="496">
        <f>AL60-AI60</f>
        <v>1422</v>
      </c>
      <c r="AP60" s="496">
        <f>AM60-AJ60</f>
        <v>1592.64</v>
      </c>
      <c r="AQ60" s="496"/>
      <c r="AR60" s="498" t="str">
        <f>IF(AI60=0,"",AL60/AI60)</f>
        <v/>
      </c>
      <c r="AS60" s="497"/>
      <c r="AT60" s="497"/>
      <c r="AU60" s="497"/>
      <c r="AV60" s="496"/>
      <c r="AW60" s="496">
        <f>AV60</f>
        <v>0</v>
      </c>
      <c r="AX60" s="496"/>
      <c r="AY60" s="496"/>
      <c r="AZ60" s="496"/>
      <c r="BA60" s="496"/>
      <c r="BB60" s="496"/>
      <c r="BC60" s="496"/>
      <c r="BD60" s="496"/>
      <c r="BE60" s="496"/>
      <c r="BF60" s="496"/>
      <c r="BG60" s="496"/>
      <c r="BH60" s="496"/>
      <c r="BI60" s="496"/>
      <c r="BJ60" s="496"/>
      <c r="BK60" s="496"/>
      <c r="BL60" s="496"/>
      <c r="BM60" s="506" t="s">
        <v>124</v>
      </c>
      <c r="BN60" s="494"/>
      <c r="BO60" s="494"/>
      <c r="BP60" s="494"/>
      <c r="BQ60" s="494"/>
      <c r="BR60" s="494"/>
      <c r="BS60" s="494"/>
      <c r="BT60" s="494"/>
      <c r="BW60" s="480"/>
      <c r="BX60" s="479"/>
    </row>
    <row r="61" spans="1:76" s="478" customFormat="1" ht="12" hidden="1" customHeight="1" outlineLevel="1" x14ac:dyDescent="0.25">
      <c r="A61" s="436"/>
      <c r="B61" s="235"/>
      <c r="C61" s="505" t="s">
        <v>6</v>
      </c>
      <c r="D61" s="505" t="s">
        <v>26</v>
      </c>
      <c r="E61" s="496"/>
      <c r="F61" s="499"/>
      <c r="G61" s="504"/>
      <c r="H61" s="500"/>
      <c r="I61" s="499"/>
      <c r="J61" s="499"/>
      <c r="K61" s="470"/>
      <c r="L61" s="503"/>
      <c r="M61" s="502"/>
      <c r="N61" s="501">
        <f>N60</f>
        <v>1421904.9999999998</v>
      </c>
      <c r="O61" s="501">
        <f>O60</f>
        <v>1592533.5999999999</v>
      </c>
      <c r="P61" s="501">
        <f>N61</f>
        <v>1421904.9999999998</v>
      </c>
      <c r="Q61" s="501">
        <f>O61</f>
        <v>1592533.5999999999</v>
      </c>
      <c r="R61" s="432"/>
      <c r="S61" s="500"/>
      <c r="T61" s="487"/>
      <c r="U61" s="487"/>
      <c r="V61" s="487"/>
      <c r="W61" s="487"/>
      <c r="X61" s="487"/>
      <c r="Y61" s="487"/>
      <c r="Z61" s="499"/>
      <c r="AA61" s="499"/>
      <c r="AB61" s="499"/>
      <c r="AC61" s="499"/>
      <c r="AD61" s="499"/>
      <c r="AE61" s="499"/>
      <c r="AF61" s="499">
        <f>Z61+AC61+W61+T61</f>
        <v>0</v>
      </c>
      <c r="AG61" s="499">
        <f>AA61+AD61+X61+U61</f>
        <v>0</v>
      </c>
      <c r="AH61" s="499"/>
      <c r="AI61" s="499"/>
      <c r="AJ61" s="499">
        <f>AI61*1.12</f>
        <v>0</v>
      </c>
      <c r="AK61" s="499"/>
      <c r="AL61" s="499"/>
      <c r="AM61" s="496">
        <f>AL61*1.12</f>
        <v>0</v>
      </c>
      <c r="AN61" s="499"/>
      <c r="AO61" s="496">
        <f>AL61-AI61</f>
        <v>0</v>
      </c>
      <c r="AP61" s="496">
        <f>AM61-AJ61</f>
        <v>0</v>
      </c>
      <c r="AQ61" s="496"/>
      <c r="AR61" s="498" t="str">
        <f>IF(AI61=0,"",AL61/AI61)</f>
        <v/>
      </c>
      <c r="AS61" s="497"/>
      <c r="AT61" s="497"/>
      <c r="AU61" s="497"/>
      <c r="AV61" s="496">
        <f>AV60</f>
        <v>0</v>
      </c>
      <c r="AW61" s="496">
        <f>AV61*1.12</f>
        <v>0</v>
      </c>
      <c r="AX61" s="496"/>
      <c r="AY61" s="496"/>
      <c r="AZ61" s="496"/>
      <c r="BA61" s="496"/>
      <c r="BB61" s="496"/>
      <c r="BC61" s="496"/>
      <c r="BD61" s="496"/>
      <c r="BE61" s="496"/>
      <c r="BF61" s="496"/>
      <c r="BG61" s="496"/>
      <c r="BH61" s="496"/>
      <c r="BI61" s="496"/>
      <c r="BJ61" s="496"/>
      <c r="BK61" s="496"/>
      <c r="BL61" s="496"/>
      <c r="BM61" s="495"/>
      <c r="BN61" s="494"/>
      <c r="BO61" s="494"/>
      <c r="BP61" s="494"/>
      <c r="BQ61" s="494"/>
      <c r="BR61" s="494"/>
      <c r="BS61" s="494"/>
      <c r="BT61" s="494"/>
      <c r="BW61" s="480"/>
      <c r="BX61" s="479"/>
    </row>
    <row r="62" spans="1:76" s="478" customFormat="1" ht="12" hidden="1" customHeight="1" outlineLevel="1" x14ac:dyDescent="0.25">
      <c r="A62" s="436"/>
      <c r="B62" s="235"/>
      <c r="C62" s="493" t="s">
        <v>6</v>
      </c>
      <c r="D62" s="493" t="s">
        <v>5</v>
      </c>
      <c r="E62" s="483"/>
      <c r="F62" s="486"/>
      <c r="G62" s="492"/>
      <c r="H62" s="488"/>
      <c r="I62" s="486"/>
      <c r="J62" s="486"/>
      <c r="K62" s="470"/>
      <c r="L62" s="491"/>
      <c r="M62" s="490"/>
      <c r="N62" s="489">
        <f>N61</f>
        <v>1421904.9999999998</v>
      </c>
      <c r="O62" s="489">
        <f>O61</f>
        <v>1592533.5999999999</v>
      </c>
      <c r="P62" s="489">
        <f>N62</f>
        <v>1421904.9999999998</v>
      </c>
      <c r="Q62" s="489">
        <f>O62</f>
        <v>1592533.5999999999</v>
      </c>
      <c r="R62" s="432"/>
      <c r="S62" s="488"/>
      <c r="T62" s="487"/>
      <c r="U62" s="487"/>
      <c r="V62" s="487"/>
      <c r="W62" s="487"/>
      <c r="X62" s="487"/>
      <c r="Y62" s="487"/>
      <c r="Z62" s="486"/>
      <c r="AA62" s="486"/>
      <c r="AB62" s="486"/>
      <c r="AC62" s="486"/>
      <c r="AD62" s="486"/>
      <c r="AE62" s="486"/>
      <c r="AF62" s="486">
        <f>Z62+AC62+W62+T62</f>
        <v>0</v>
      </c>
      <c r="AG62" s="486">
        <f>AA62+AD62+X62+U62</f>
        <v>0</v>
      </c>
      <c r="AH62" s="486"/>
      <c r="AI62" s="486"/>
      <c r="AJ62" s="486">
        <f>AI62*1.12</f>
        <v>0</v>
      </c>
      <c r="AK62" s="486"/>
      <c r="AL62" s="486"/>
      <c r="AM62" s="483">
        <f>AL62*1.12</f>
        <v>0</v>
      </c>
      <c r="AN62" s="486"/>
      <c r="AO62" s="483">
        <f>AL62-AI62</f>
        <v>0</v>
      </c>
      <c r="AP62" s="483">
        <f>AM62-AJ62</f>
        <v>0</v>
      </c>
      <c r="AQ62" s="483"/>
      <c r="AR62" s="485" t="str">
        <f>IF(AI62=0,"",AL62/AI62)</f>
        <v/>
      </c>
      <c r="AS62" s="484"/>
      <c r="AT62" s="484"/>
      <c r="AU62" s="484"/>
      <c r="AV62" s="483">
        <f>AV61</f>
        <v>0</v>
      </c>
      <c r="AW62" s="483">
        <f>AV62*1.12</f>
        <v>0</v>
      </c>
      <c r="AX62" s="483"/>
      <c r="AY62" s="483"/>
      <c r="AZ62" s="483"/>
      <c r="BA62" s="483"/>
      <c r="BB62" s="483"/>
      <c r="BC62" s="483"/>
      <c r="BD62" s="483"/>
      <c r="BE62" s="483"/>
      <c r="BF62" s="483"/>
      <c r="BG62" s="483"/>
      <c r="BH62" s="483"/>
      <c r="BI62" s="483"/>
      <c r="BJ62" s="483"/>
      <c r="BK62" s="483"/>
      <c r="BL62" s="483"/>
      <c r="BM62" s="482"/>
      <c r="BN62" s="481"/>
      <c r="BO62" s="481"/>
      <c r="BP62" s="481"/>
      <c r="BQ62" s="481"/>
      <c r="BR62" s="481"/>
      <c r="BS62" s="481"/>
      <c r="BT62" s="481"/>
      <c r="BW62" s="480"/>
      <c r="BX62" s="479"/>
    </row>
    <row r="63" spans="1:76" s="478" customFormat="1" ht="12" hidden="1" customHeight="1" outlineLevel="1" x14ac:dyDescent="0.25">
      <c r="A63" s="436"/>
      <c r="B63" s="235"/>
      <c r="C63" s="505" t="s">
        <v>9</v>
      </c>
      <c r="D63" s="505" t="s">
        <v>8</v>
      </c>
      <c r="E63" s="496"/>
      <c r="F63" s="499"/>
      <c r="G63" s="511"/>
      <c r="H63" s="508"/>
      <c r="I63" s="499"/>
      <c r="J63" s="499"/>
      <c r="K63" s="470"/>
      <c r="L63" s="510" t="s">
        <v>153</v>
      </c>
      <c r="M63" s="509"/>
      <c r="N63" s="501">
        <f>O63/1.12</f>
        <v>164999.99999999997</v>
      </c>
      <c r="O63" s="501">
        <f>18480*S63</f>
        <v>184800</v>
      </c>
      <c r="P63" s="501">
        <f>N63</f>
        <v>164999.99999999997</v>
      </c>
      <c r="Q63" s="501">
        <f>O63</f>
        <v>184800</v>
      </c>
      <c r="R63" s="432"/>
      <c r="S63" s="508">
        <v>10</v>
      </c>
      <c r="T63" s="487"/>
      <c r="U63" s="487"/>
      <c r="V63" s="487"/>
      <c r="W63" s="487"/>
      <c r="X63" s="487"/>
      <c r="Y63" s="487"/>
      <c r="Z63" s="499"/>
      <c r="AA63" s="499"/>
      <c r="AB63" s="499"/>
      <c r="AC63" s="499"/>
      <c r="AD63" s="499"/>
      <c r="AE63" s="499"/>
      <c r="AF63" s="499">
        <f>Z63+AC63+W63+T63</f>
        <v>0</v>
      </c>
      <c r="AG63" s="499">
        <f>AA63+AD63+X63+U63</f>
        <v>0</v>
      </c>
      <c r="AH63" s="499"/>
      <c r="AI63" s="499"/>
      <c r="AJ63" s="499">
        <f>AI63*1.12</f>
        <v>0</v>
      </c>
      <c r="AK63" s="499"/>
      <c r="AL63" s="507">
        <f>ROUND(P63/1000,0)</f>
        <v>165</v>
      </c>
      <c r="AM63" s="496">
        <f>AL63*1.12</f>
        <v>184.8</v>
      </c>
      <c r="AN63" s="507">
        <v>10</v>
      </c>
      <c r="AO63" s="496">
        <f>AL63-AI63</f>
        <v>165</v>
      </c>
      <c r="AP63" s="496">
        <f>AM63-AJ63</f>
        <v>184.8</v>
      </c>
      <c r="AQ63" s="496"/>
      <c r="AR63" s="498" t="str">
        <f>IF(AI63=0,"",AL63/AI63)</f>
        <v/>
      </c>
      <c r="AS63" s="497"/>
      <c r="AT63" s="497"/>
      <c r="AU63" s="497"/>
      <c r="AV63" s="496"/>
      <c r="AW63" s="496">
        <f>AV63</f>
        <v>0</v>
      </c>
      <c r="AX63" s="496"/>
      <c r="AY63" s="496"/>
      <c r="AZ63" s="496"/>
      <c r="BA63" s="496"/>
      <c r="BB63" s="496"/>
      <c r="BC63" s="496"/>
      <c r="BD63" s="496"/>
      <c r="BE63" s="496"/>
      <c r="BF63" s="496"/>
      <c r="BG63" s="496"/>
      <c r="BH63" s="496"/>
      <c r="BI63" s="496"/>
      <c r="BJ63" s="496"/>
      <c r="BK63" s="496"/>
      <c r="BL63" s="496"/>
      <c r="BM63" s="506" t="s">
        <v>152</v>
      </c>
      <c r="BN63" s="494"/>
      <c r="BO63" s="494"/>
      <c r="BP63" s="494"/>
      <c r="BQ63" s="494"/>
      <c r="BR63" s="494"/>
      <c r="BS63" s="494"/>
      <c r="BT63" s="494"/>
      <c r="BW63" s="480"/>
      <c r="BX63" s="479"/>
    </row>
    <row r="64" spans="1:76" s="478" customFormat="1" ht="12" hidden="1" customHeight="1" outlineLevel="1" x14ac:dyDescent="0.25">
      <c r="A64" s="436"/>
      <c r="B64" s="235"/>
      <c r="C64" s="505" t="s">
        <v>6</v>
      </c>
      <c r="D64" s="505" t="s">
        <v>26</v>
      </c>
      <c r="E64" s="496"/>
      <c r="F64" s="499"/>
      <c r="G64" s="504"/>
      <c r="H64" s="500"/>
      <c r="I64" s="499"/>
      <c r="J64" s="499"/>
      <c r="K64" s="470"/>
      <c r="L64" s="503"/>
      <c r="M64" s="502"/>
      <c r="N64" s="501">
        <f>N63</f>
        <v>164999.99999999997</v>
      </c>
      <c r="O64" s="501">
        <f>O63</f>
        <v>184800</v>
      </c>
      <c r="P64" s="501">
        <f>N64</f>
        <v>164999.99999999997</v>
      </c>
      <c r="Q64" s="501">
        <f>O64</f>
        <v>184800</v>
      </c>
      <c r="R64" s="432"/>
      <c r="S64" s="500"/>
      <c r="T64" s="487"/>
      <c r="U64" s="487"/>
      <c r="V64" s="487"/>
      <c r="W64" s="487"/>
      <c r="X64" s="487"/>
      <c r="Y64" s="487"/>
      <c r="Z64" s="499"/>
      <c r="AA64" s="499"/>
      <c r="AB64" s="499"/>
      <c r="AC64" s="499"/>
      <c r="AD64" s="499"/>
      <c r="AE64" s="499"/>
      <c r="AF64" s="499">
        <f>Z64+AC64+W64+T64</f>
        <v>0</v>
      </c>
      <c r="AG64" s="499">
        <f>AA64+AD64+X64+U64</f>
        <v>0</v>
      </c>
      <c r="AH64" s="499"/>
      <c r="AI64" s="499"/>
      <c r="AJ64" s="499">
        <f>AI64*1.12</f>
        <v>0</v>
      </c>
      <c r="AK64" s="499"/>
      <c r="AL64" s="499"/>
      <c r="AM64" s="496">
        <f>AL64*1.12</f>
        <v>0</v>
      </c>
      <c r="AN64" s="499"/>
      <c r="AO64" s="496">
        <f>AL64-AI64</f>
        <v>0</v>
      </c>
      <c r="AP64" s="496">
        <f>AM64-AJ64</f>
        <v>0</v>
      </c>
      <c r="AQ64" s="496"/>
      <c r="AR64" s="498" t="str">
        <f>IF(AI64=0,"",AL64/AI64)</f>
        <v/>
      </c>
      <c r="AS64" s="497"/>
      <c r="AT64" s="497"/>
      <c r="AU64" s="497"/>
      <c r="AV64" s="496">
        <f>AV63</f>
        <v>0</v>
      </c>
      <c r="AW64" s="496">
        <f>AV64*1.12</f>
        <v>0</v>
      </c>
      <c r="AX64" s="496"/>
      <c r="AY64" s="496"/>
      <c r="AZ64" s="496"/>
      <c r="BA64" s="496"/>
      <c r="BB64" s="496"/>
      <c r="BC64" s="496"/>
      <c r="BD64" s="496"/>
      <c r="BE64" s="496"/>
      <c r="BF64" s="496"/>
      <c r="BG64" s="496"/>
      <c r="BH64" s="496"/>
      <c r="BI64" s="496"/>
      <c r="BJ64" s="496"/>
      <c r="BK64" s="496"/>
      <c r="BL64" s="496"/>
      <c r="BM64" s="495"/>
      <c r="BN64" s="494"/>
      <c r="BO64" s="494"/>
      <c r="BP64" s="494"/>
      <c r="BQ64" s="494"/>
      <c r="BR64" s="494"/>
      <c r="BS64" s="494"/>
      <c r="BT64" s="494"/>
      <c r="BW64" s="480"/>
      <c r="BX64" s="479"/>
    </row>
    <row r="65" spans="1:76" s="478" customFormat="1" ht="12" hidden="1" customHeight="1" outlineLevel="1" x14ac:dyDescent="0.25">
      <c r="A65" s="436"/>
      <c r="B65" s="235"/>
      <c r="C65" s="493" t="s">
        <v>6</v>
      </c>
      <c r="D65" s="493" t="s">
        <v>5</v>
      </c>
      <c r="E65" s="483"/>
      <c r="F65" s="486"/>
      <c r="G65" s="492"/>
      <c r="H65" s="488"/>
      <c r="I65" s="486"/>
      <c r="J65" s="486"/>
      <c r="K65" s="470"/>
      <c r="L65" s="491"/>
      <c r="M65" s="490"/>
      <c r="N65" s="489">
        <f>N64</f>
        <v>164999.99999999997</v>
      </c>
      <c r="O65" s="489">
        <f>O64</f>
        <v>184800</v>
      </c>
      <c r="P65" s="489">
        <f>N65</f>
        <v>164999.99999999997</v>
      </c>
      <c r="Q65" s="489">
        <f>O65</f>
        <v>184800</v>
      </c>
      <c r="R65" s="432"/>
      <c r="S65" s="488"/>
      <c r="T65" s="487"/>
      <c r="U65" s="487"/>
      <c r="V65" s="487"/>
      <c r="W65" s="487"/>
      <c r="X65" s="487"/>
      <c r="Y65" s="487"/>
      <c r="Z65" s="486"/>
      <c r="AA65" s="486"/>
      <c r="AB65" s="486"/>
      <c r="AC65" s="486"/>
      <c r="AD65" s="486"/>
      <c r="AE65" s="486"/>
      <c r="AF65" s="486">
        <f>Z65+AC65+W65+T65</f>
        <v>0</v>
      </c>
      <c r="AG65" s="486">
        <f>AA65+AD65+X65+U65</f>
        <v>0</v>
      </c>
      <c r="AH65" s="486"/>
      <c r="AI65" s="486"/>
      <c r="AJ65" s="486">
        <f>AI65*1.12</f>
        <v>0</v>
      </c>
      <c r="AK65" s="486"/>
      <c r="AL65" s="486"/>
      <c r="AM65" s="483">
        <f>AL65*1.12</f>
        <v>0</v>
      </c>
      <c r="AN65" s="486"/>
      <c r="AO65" s="483">
        <f>AL65-AI65</f>
        <v>0</v>
      </c>
      <c r="AP65" s="483">
        <f>AM65-AJ65</f>
        <v>0</v>
      </c>
      <c r="AQ65" s="483"/>
      <c r="AR65" s="485" t="str">
        <f>IF(AI65=0,"",AL65/AI65)</f>
        <v/>
      </c>
      <c r="AS65" s="484"/>
      <c r="AT65" s="484"/>
      <c r="AU65" s="484"/>
      <c r="AV65" s="483">
        <f>AV64</f>
        <v>0</v>
      </c>
      <c r="AW65" s="483">
        <f>AV65*1.12</f>
        <v>0</v>
      </c>
      <c r="AX65" s="483"/>
      <c r="AY65" s="483"/>
      <c r="AZ65" s="483"/>
      <c r="BA65" s="483"/>
      <c r="BB65" s="483"/>
      <c r="BC65" s="483"/>
      <c r="BD65" s="483"/>
      <c r="BE65" s="483"/>
      <c r="BF65" s="483"/>
      <c r="BG65" s="483"/>
      <c r="BH65" s="483"/>
      <c r="BI65" s="483"/>
      <c r="BJ65" s="483"/>
      <c r="BK65" s="483"/>
      <c r="BL65" s="483"/>
      <c r="BM65" s="482"/>
      <c r="BN65" s="481"/>
      <c r="BO65" s="481"/>
      <c r="BP65" s="481"/>
      <c r="BQ65" s="481"/>
      <c r="BR65" s="481"/>
      <c r="BS65" s="481"/>
      <c r="BT65" s="481"/>
      <c r="BW65" s="480"/>
      <c r="BX65" s="479"/>
    </row>
    <row r="66" spans="1:76" s="478" customFormat="1" ht="12" hidden="1" customHeight="1" outlineLevel="1" x14ac:dyDescent="0.25">
      <c r="A66" s="436"/>
      <c r="B66" s="235"/>
      <c r="C66" s="505" t="s">
        <v>9</v>
      </c>
      <c r="D66" s="505" t="s">
        <v>8</v>
      </c>
      <c r="E66" s="496"/>
      <c r="F66" s="499"/>
      <c r="G66" s="511"/>
      <c r="H66" s="508"/>
      <c r="I66" s="499"/>
      <c r="J66" s="499"/>
      <c r="K66" s="470"/>
      <c r="L66" s="510" t="s">
        <v>151</v>
      </c>
      <c r="M66" s="509"/>
      <c r="N66" s="501">
        <f>O66/1.12</f>
        <v>77909.999999999985</v>
      </c>
      <c r="O66" s="501">
        <f>17451.84*S66</f>
        <v>87259.199999999997</v>
      </c>
      <c r="P66" s="501">
        <f>N66</f>
        <v>77909.999999999985</v>
      </c>
      <c r="Q66" s="501">
        <f>O66</f>
        <v>87259.199999999997</v>
      </c>
      <c r="R66" s="432"/>
      <c r="S66" s="508">
        <v>5</v>
      </c>
      <c r="T66" s="487"/>
      <c r="U66" s="487"/>
      <c r="V66" s="487"/>
      <c r="W66" s="487"/>
      <c r="X66" s="487"/>
      <c r="Y66" s="487"/>
      <c r="Z66" s="499"/>
      <c r="AA66" s="499"/>
      <c r="AB66" s="499"/>
      <c r="AC66" s="499"/>
      <c r="AD66" s="499"/>
      <c r="AE66" s="499"/>
      <c r="AF66" s="499">
        <f>Z66+AC66+W66+T66</f>
        <v>0</v>
      </c>
      <c r="AG66" s="499">
        <f>AA66+AD66+X66+U66</f>
        <v>0</v>
      </c>
      <c r="AH66" s="499"/>
      <c r="AI66" s="499"/>
      <c r="AJ66" s="499">
        <f>AI66*1.12</f>
        <v>0</v>
      </c>
      <c r="AK66" s="499"/>
      <c r="AL66" s="507">
        <f>ROUND(P66/1000,0)</f>
        <v>78</v>
      </c>
      <c r="AM66" s="496">
        <f>AL66*1.12</f>
        <v>87.360000000000014</v>
      </c>
      <c r="AN66" s="507">
        <v>5</v>
      </c>
      <c r="AO66" s="496">
        <f>AL66-AI66</f>
        <v>78</v>
      </c>
      <c r="AP66" s="496">
        <f>AM66-AJ66</f>
        <v>87.360000000000014</v>
      </c>
      <c r="AQ66" s="496"/>
      <c r="AR66" s="498" t="str">
        <f>IF(AI66=0,"",AL66/AI66)</f>
        <v/>
      </c>
      <c r="AS66" s="497"/>
      <c r="AT66" s="497"/>
      <c r="AU66" s="497"/>
      <c r="AV66" s="496"/>
      <c r="AW66" s="496">
        <f>AV66</f>
        <v>0</v>
      </c>
      <c r="AX66" s="496"/>
      <c r="AY66" s="496"/>
      <c r="AZ66" s="496"/>
      <c r="BA66" s="496"/>
      <c r="BB66" s="496"/>
      <c r="BC66" s="496"/>
      <c r="BD66" s="496"/>
      <c r="BE66" s="496"/>
      <c r="BF66" s="496"/>
      <c r="BG66" s="496"/>
      <c r="BH66" s="496"/>
      <c r="BI66" s="496"/>
      <c r="BJ66" s="496"/>
      <c r="BK66" s="496"/>
      <c r="BL66" s="496"/>
      <c r="BM66" s="506" t="s">
        <v>136</v>
      </c>
      <c r="BN66" s="494"/>
      <c r="BO66" s="494"/>
      <c r="BP66" s="494"/>
      <c r="BQ66" s="494"/>
      <c r="BR66" s="494"/>
      <c r="BS66" s="494"/>
      <c r="BT66" s="494"/>
      <c r="BW66" s="480"/>
      <c r="BX66" s="479"/>
    </row>
    <row r="67" spans="1:76" s="478" customFormat="1" ht="12" hidden="1" customHeight="1" outlineLevel="1" x14ac:dyDescent="0.25">
      <c r="A67" s="436"/>
      <c r="B67" s="235"/>
      <c r="C67" s="505" t="s">
        <v>6</v>
      </c>
      <c r="D67" s="505" t="s">
        <v>26</v>
      </c>
      <c r="E67" s="496"/>
      <c r="F67" s="499"/>
      <c r="G67" s="504"/>
      <c r="H67" s="500"/>
      <c r="I67" s="499"/>
      <c r="J67" s="499"/>
      <c r="K67" s="470"/>
      <c r="L67" s="503"/>
      <c r="M67" s="502"/>
      <c r="N67" s="501">
        <f>N66</f>
        <v>77909.999999999985</v>
      </c>
      <c r="O67" s="501">
        <f>O66</f>
        <v>87259.199999999997</v>
      </c>
      <c r="P67" s="501">
        <f>N67</f>
        <v>77909.999999999985</v>
      </c>
      <c r="Q67" s="501">
        <f>O67</f>
        <v>87259.199999999997</v>
      </c>
      <c r="R67" s="432"/>
      <c r="S67" s="500"/>
      <c r="T67" s="487"/>
      <c r="U67" s="487"/>
      <c r="V67" s="487"/>
      <c r="W67" s="487"/>
      <c r="X67" s="487"/>
      <c r="Y67" s="487"/>
      <c r="Z67" s="499"/>
      <c r="AA67" s="499"/>
      <c r="AB67" s="499"/>
      <c r="AC67" s="499"/>
      <c r="AD67" s="499"/>
      <c r="AE67" s="499"/>
      <c r="AF67" s="499">
        <f>Z67+AC67+W67+T67</f>
        <v>0</v>
      </c>
      <c r="AG67" s="499">
        <f>AA67+AD67+X67+U67</f>
        <v>0</v>
      </c>
      <c r="AH67" s="499"/>
      <c r="AI67" s="499"/>
      <c r="AJ67" s="499">
        <f>AI67*1.12</f>
        <v>0</v>
      </c>
      <c r="AK67" s="499"/>
      <c r="AL67" s="499"/>
      <c r="AM67" s="496">
        <f>AL67*1.12</f>
        <v>0</v>
      </c>
      <c r="AN67" s="499"/>
      <c r="AO67" s="496">
        <f>AL67-AI67</f>
        <v>0</v>
      </c>
      <c r="AP67" s="496">
        <f>AM67-AJ67</f>
        <v>0</v>
      </c>
      <c r="AQ67" s="496"/>
      <c r="AR67" s="498" t="str">
        <f>IF(AI67=0,"",AL67/AI67)</f>
        <v/>
      </c>
      <c r="AS67" s="497"/>
      <c r="AT67" s="497"/>
      <c r="AU67" s="497"/>
      <c r="AV67" s="496">
        <f>AV66</f>
        <v>0</v>
      </c>
      <c r="AW67" s="496">
        <f>AV67*1.12</f>
        <v>0</v>
      </c>
      <c r="AX67" s="496"/>
      <c r="AY67" s="496"/>
      <c r="AZ67" s="496"/>
      <c r="BA67" s="496"/>
      <c r="BB67" s="496"/>
      <c r="BC67" s="496"/>
      <c r="BD67" s="496"/>
      <c r="BE67" s="496"/>
      <c r="BF67" s="496"/>
      <c r="BG67" s="496"/>
      <c r="BH67" s="496"/>
      <c r="BI67" s="496"/>
      <c r="BJ67" s="496"/>
      <c r="BK67" s="496"/>
      <c r="BL67" s="496"/>
      <c r="BM67" s="495"/>
      <c r="BN67" s="494"/>
      <c r="BO67" s="494"/>
      <c r="BP67" s="494"/>
      <c r="BQ67" s="494"/>
      <c r="BR67" s="494"/>
      <c r="BS67" s="494"/>
      <c r="BT67" s="494"/>
      <c r="BW67" s="480"/>
      <c r="BX67" s="479"/>
    </row>
    <row r="68" spans="1:76" s="478" customFormat="1" ht="12" hidden="1" customHeight="1" outlineLevel="1" x14ac:dyDescent="0.25">
      <c r="A68" s="436"/>
      <c r="B68" s="235"/>
      <c r="C68" s="493" t="s">
        <v>6</v>
      </c>
      <c r="D68" s="493" t="s">
        <v>5</v>
      </c>
      <c r="E68" s="483"/>
      <c r="F68" s="486"/>
      <c r="G68" s="492"/>
      <c r="H68" s="488"/>
      <c r="I68" s="486"/>
      <c r="J68" s="486"/>
      <c r="K68" s="470"/>
      <c r="L68" s="491"/>
      <c r="M68" s="490"/>
      <c r="N68" s="489">
        <f>N67</f>
        <v>77909.999999999985</v>
      </c>
      <c r="O68" s="489">
        <f>O67</f>
        <v>87259.199999999997</v>
      </c>
      <c r="P68" s="489">
        <f>N68</f>
        <v>77909.999999999985</v>
      </c>
      <c r="Q68" s="489">
        <f>O68</f>
        <v>87259.199999999997</v>
      </c>
      <c r="R68" s="432"/>
      <c r="S68" s="488"/>
      <c r="T68" s="487"/>
      <c r="U68" s="487"/>
      <c r="V68" s="487"/>
      <c r="W68" s="487"/>
      <c r="X68" s="487"/>
      <c r="Y68" s="487"/>
      <c r="Z68" s="486"/>
      <c r="AA68" s="486"/>
      <c r="AB68" s="486"/>
      <c r="AC68" s="486"/>
      <c r="AD68" s="486"/>
      <c r="AE68" s="486"/>
      <c r="AF68" s="486">
        <f>Z68+AC68+W68+T68</f>
        <v>0</v>
      </c>
      <c r="AG68" s="486">
        <f>AA68+AD68+X68+U68</f>
        <v>0</v>
      </c>
      <c r="AH68" s="486"/>
      <c r="AI68" s="486"/>
      <c r="AJ68" s="486">
        <f>AI68*1.12</f>
        <v>0</v>
      </c>
      <c r="AK68" s="486"/>
      <c r="AL68" s="486"/>
      <c r="AM68" s="483">
        <f>AL68*1.12</f>
        <v>0</v>
      </c>
      <c r="AN68" s="486"/>
      <c r="AO68" s="483">
        <f>AL68-AI68</f>
        <v>0</v>
      </c>
      <c r="AP68" s="483">
        <f>AM68-AJ68</f>
        <v>0</v>
      </c>
      <c r="AQ68" s="483"/>
      <c r="AR68" s="485" t="str">
        <f>IF(AI68=0,"",AL68/AI68)</f>
        <v/>
      </c>
      <c r="AS68" s="484"/>
      <c r="AT68" s="484"/>
      <c r="AU68" s="484"/>
      <c r="AV68" s="483">
        <f>AV67</f>
        <v>0</v>
      </c>
      <c r="AW68" s="483">
        <f>AV68*1.12</f>
        <v>0</v>
      </c>
      <c r="AX68" s="483"/>
      <c r="AY68" s="483"/>
      <c r="AZ68" s="483"/>
      <c r="BA68" s="483"/>
      <c r="BB68" s="483"/>
      <c r="BC68" s="483"/>
      <c r="BD68" s="483"/>
      <c r="BE68" s="483"/>
      <c r="BF68" s="483"/>
      <c r="BG68" s="483"/>
      <c r="BH68" s="483"/>
      <c r="BI68" s="483"/>
      <c r="BJ68" s="483"/>
      <c r="BK68" s="483"/>
      <c r="BL68" s="483"/>
      <c r="BM68" s="482"/>
      <c r="BN68" s="481"/>
      <c r="BO68" s="481"/>
      <c r="BP68" s="481"/>
      <c r="BQ68" s="481"/>
      <c r="BR68" s="481"/>
      <c r="BS68" s="481"/>
      <c r="BT68" s="481"/>
      <c r="BW68" s="480"/>
      <c r="BX68" s="479"/>
    </row>
    <row r="69" spans="1:76" s="478" customFormat="1" ht="12" hidden="1" customHeight="1" outlineLevel="1" x14ac:dyDescent="0.25">
      <c r="A69" s="436"/>
      <c r="B69" s="235"/>
      <c r="C69" s="505" t="s">
        <v>9</v>
      </c>
      <c r="D69" s="505" t="s">
        <v>8</v>
      </c>
      <c r="E69" s="496"/>
      <c r="F69" s="499"/>
      <c r="G69" s="511"/>
      <c r="H69" s="508"/>
      <c r="I69" s="499"/>
      <c r="J69" s="499"/>
      <c r="K69" s="470"/>
      <c r="L69" s="510" t="s">
        <v>150</v>
      </c>
      <c r="M69" s="509"/>
      <c r="N69" s="501">
        <f>O69/1.12</f>
        <v>154999.99999999997</v>
      </c>
      <c r="O69" s="501">
        <f>17360*S69</f>
        <v>173600</v>
      </c>
      <c r="P69" s="501">
        <f>N69</f>
        <v>154999.99999999997</v>
      </c>
      <c r="Q69" s="501">
        <f>O69</f>
        <v>173600</v>
      </c>
      <c r="R69" s="432"/>
      <c r="S69" s="508">
        <v>10</v>
      </c>
      <c r="T69" s="487"/>
      <c r="U69" s="487"/>
      <c r="V69" s="487"/>
      <c r="W69" s="487"/>
      <c r="X69" s="487"/>
      <c r="Y69" s="487"/>
      <c r="Z69" s="499"/>
      <c r="AA69" s="499"/>
      <c r="AB69" s="499"/>
      <c r="AC69" s="499"/>
      <c r="AD69" s="499"/>
      <c r="AE69" s="499"/>
      <c r="AF69" s="499">
        <f>Z69+AC69+W69+T69</f>
        <v>0</v>
      </c>
      <c r="AG69" s="499">
        <f>AA69+AD69+X69+U69</f>
        <v>0</v>
      </c>
      <c r="AH69" s="499"/>
      <c r="AI69" s="499"/>
      <c r="AJ69" s="499">
        <f>AI69*1.12</f>
        <v>0</v>
      </c>
      <c r="AK69" s="499"/>
      <c r="AL69" s="507">
        <f>ROUND(P69/1000,0)</f>
        <v>155</v>
      </c>
      <c r="AM69" s="496">
        <f>AL69*1.12</f>
        <v>173.60000000000002</v>
      </c>
      <c r="AN69" s="507">
        <v>10</v>
      </c>
      <c r="AO69" s="496">
        <f>AL69-AI69</f>
        <v>155</v>
      </c>
      <c r="AP69" s="496">
        <f>AM69-AJ69</f>
        <v>173.60000000000002</v>
      </c>
      <c r="AQ69" s="496"/>
      <c r="AR69" s="498" t="str">
        <f>IF(AI69=0,"",AL69/AI69)</f>
        <v/>
      </c>
      <c r="AS69" s="497"/>
      <c r="AT69" s="497"/>
      <c r="AU69" s="497"/>
      <c r="AV69" s="496"/>
      <c r="AW69" s="496">
        <f>AV69</f>
        <v>0</v>
      </c>
      <c r="AX69" s="496"/>
      <c r="AY69" s="496"/>
      <c r="AZ69" s="496"/>
      <c r="BA69" s="496"/>
      <c r="BB69" s="496"/>
      <c r="BC69" s="496"/>
      <c r="BD69" s="496"/>
      <c r="BE69" s="496"/>
      <c r="BF69" s="496"/>
      <c r="BG69" s="496"/>
      <c r="BH69" s="496"/>
      <c r="BI69" s="496"/>
      <c r="BJ69" s="496"/>
      <c r="BK69" s="496"/>
      <c r="BL69" s="496"/>
      <c r="BM69" s="506" t="s">
        <v>149</v>
      </c>
      <c r="BN69" s="494"/>
      <c r="BO69" s="494"/>
      <c r="BP69" s="494"/>
      <c r="BQ69" s="494"/>
      <c r="BR69" s="494"/>
      <c r="BS69" s="494"/>
      <c r="BT69" s="494"/>
      <c r="BW69" s="480"/>
      <c r="BX69" s="479"/>
    </row>
    <row r="70" spans="1:76" s="478" customFormat="1" ht="12" hidden="1" customHeight="1" outlineLevel="1" x14ac:dyDescent="0.25">
      <c r="A70" s="436"/>
      <c r="B70" s="235"/>
      <c r="C70" s="505" t="s">
        <v>6</v>
      </c>
      <c r="D70" s="505" t="s">
        <v>26</v>
      </c>
      <c r="E70" s="496"/>
      <c r="F70" s="499"/>
      <c r="G70" s="504"/>
      <c r="H70" s="500"/>
      <c r="I70" s="499"/>
      <c r="J70" s="499"/>
      <c r="K70" s="470"/>
      <c r="L70" s="503"/>
      <c r="M70" s="502"/>
      <c r="N70" s="501">
        <f>N69</f>
        <v>154999.99999999997</v>
      </c>
      <c r="O70" s="501">
        <f>O69</f>
        <v>173600</v>
      </c>
      <c r="P70" s="501">
        <f>N70</f>
        <v>154999.99999999997</v>
      </c>
      <c r="Q70" s="501">
        <f>O70</f>
        <v>173600</v>
      </c>
      <c r="R70" s="432"/>
      <c r="S70" s="500"/>
      <c r="T70" s="487"/>
      <c r="U70" s="487"/>
      <c r="V70" s="487"/>
      <c r="W70" s="487"/>
      <c r="X70" s="487"/>
      <c r="Y70" s="487"/>
      <c r="Z70" s="499"/>
      <c r="AA70" s="499"/>
      <c r="AB70" s="499"/>
      <c r="AC70" s="499"/>
      <c r="AD70" s="499"/>
      <c r="AE70" s="499"/>
      <c r="AF70" s="499">
        <f>Z70+AC70+W70+T70</f>
        <v>0</v>
      </c>
      <c r="AG70" s="499">
        <f>AA70+AD70+X70+U70</f>
        <v>0</v>
      </c>
      <c r="AH70" s="499"/>
      <c r="AI70" s="499"/>
      <c r="AJ70" s="499">
        <f>AI70*1.12</f>
        <v>0</v>
      </c>
      <c r="AK70" s="499"/>
      <c r="AL70" s="499"/>
      <c r="AM70" s="496">
        <f>AL70*1.12</f>
        <v>0</v>
      </c>
      <c r="AN70" s="499"/>
      <c r="AO70" s="496">
        <f>AL70-AI70</f>
        <v>0</v>
      </c>
      <c r="AP70" s="496">
        <f>AM70-AJ70</f>
        <v>0</v>
      </c>
      <c r="AQ70" s="496"/>
      <c r="AR70" s="498" t="str">
        <f>IF(AI70=0,"",AL70/AI70)</f>
        <v/>
      </c>
      <c r="AS70" s="497"/>
      <c r="AT70" s="497"/>
      <c r="AU70" s="497"/>
      <c r="AV70" s="496">
        <f>AV69</f>
        <v>0</v>
      </c>
      <c r="AW70" s="496">
        <f>AV70*1.12</f>
        <v>0</v>
      </c>
      <c r="AX70" s="496"/>
      <c r="AY70" s="496"/>
      <c r="AZ70" s="496"/>
      <c r="BA70" s="496"/>
      <c r="BB70" s="496"/>
      <c r="BC70" s="496"/>
      <c r="BD70" s="496"/>
      <c r="BE70" s="496"/>
      <c r="BF70" s="496"/>
      <c r="BG70" s="496"/>
      <c r="BH70" s="496"/>
      <c r="BI70" s="496"/>
      <c r="BJ70" s="496"/>
      <c r="BK70" s="496"/>
      <c r="BL70" s="496"/>
      <c r="BM70" s="495"/>
      <c r="BN70" s="494"/>
      <c r="BO70" s="494"/>
      <c r="BP70" s="494"/>
      <c r="BQ70" s="494"/>
      <c r="BR70" s="494"/>
      <c r="BS70" s="494"/>
      <c r="BT70" s="494"/>
      <c r="BW70" s="480"/>
      <c r="BX70" s="479"/>
    </row>
    <row r="71" spans="1:76" s="478" customFormat="1" ht="12" hidden="1" customHeight="1" outlineLevel="1" x14ac:dyDescent="0.25">
      <c r="A71" s="436"/>
      <c r="B71" s="235"/>
      <c r="C71" s="493" t="s">
        <v>6</v>
      </c>
      <c r="D71" s="493" t="s">
        <v>5</v>
      </c>
      <c r="E71" s="483"/>
      <c r="F71" s="486"/>
      <c r="G71" s="492"/>
      <c r="H71" s="488"/>
      <c r="I71" s="486"/>
      <c r="J71" s="486"/>
      <c r="K71" s="470"/>
      <c r="L71" s="491"/>
      <c r="M71" s="490"/>
      <c r="N71" s="489">
        <f>N70</f>
        <v>154999.99999999997</v>
      </c>
      <c r="O71" s="489">
        <f>O70</f>
        <v>173600</v>
      </c>
      <c r="P71" s="489">
        <f>N71</f>
        <v>154999.99999999997</v>
      </c>
      <c r="Q71" s="489">
        <f>O71</f>
        <v>173600</v>
      </c>
      <c r="R71" s="432"/>
      <c r="S71" s="488"/>
      <c r="T71" s="487"/>
      <c r="U71" s="487"/>
      <c r="V71" s="487"/>
      <c r="W71" s="487"/>
      <c r="X71" s="487"/>
      <c r="Y71" s="487"/>
      <c r="Z71" s="486"/>
      <c r="AA71" s="486"/>
      <c r="AB71" s="486"/>
      <c r="AC71" s="486"/>
      <c r="AD71" s="486"/>
      <c r="AE71" s="486"/>
      <c r="AF71" s="486">
        <f>Z71+AC71+W71+T71</f>
        <v>0</v>
      </c>
      <c r="AG71" s="486">
        <f>AA71+AD71+X71+U71</f>
        <v>0</v>
      </c>
      <c r="AH71" s="486"/>
      <c r="AI71" s="486"/>
      <c r="AJ71" s="486">
        <f>AI71*1.12</f>
        <v>0</v>
      </c>
      <c r="AK71" s="486"/>
      <c r="AL71" s="486"/>
      <c r="AM71" s="483">
        <f>AL71*1.12</f>
        <v>0</v>
      </c>
      <c r="AN71" s="486"/>
      <c r="AO71" s="483">
        <f>AL71-AI71</f>
        <v>0</v>
      </c>
      <c r="AP71" s="483">
        <f>AM71-AJ71</f>
        <v>0</v>
      </c>
      <c r="AQ71" s="483"/>
      <c r="AR71" s="485" t="str">
        <f>IF(AI71=0,"",AL71/AI71)</f>
        <v/>
      </c>
      <c r="AS71" s="484"/>
      <c r="AT71" s="484"/>
      <c r="AU71" s="484"/>
      <c r="AV71" s="483">
        <f>AV70</f>
        <v>0</v>
      </c>
      <c r="AW71" s="483">
        <f>AV71*1.12</f>
        <v>0</v>
      </c>
      <c r="AX71" s="483"/>
      <c r="AY71" s="483"/>
      <c r="AZ71" s="483"/>
      <c r="BA71" s="483"/>
      <c r="BB71" s="483"/>
      <c r="BC71" s="483"/>
      <c r="BD71" s="483"/>
      <c r="BE71" s="483"/>
      <c r="BF71" s="483"/>
      <c r="BG71" s="483"/>
      <c r="BH71" s="483"/>
      <c r="BI71" s="483"/>
      <c r="BJ71" s="483"/>
      <c r="BK71" s="483"/>
      <c r="BL71" s="483"/>
      <c r="BM71" s="482"/>
      <c r="BN71" s="481"/>
      <c r="BO71" s="481"/>
      <c r="BP71" s="481"/>
      <c r="BQ71" s="481"/>
      <c r="BR71" s="481"/>
      <c r="BS71" s="481"/>
      <c r="BT71" s="481"/>
      <c r="BW71" s="480"/>
      <c r="BX71" s="479"/>
    </row>
    <row r="72" spans="1:76" s="478" customFormat="1" ht="12" hidden="1" outlineLevel="1" x14ac:dyDescent="0.25">
      <c r="A72" s="436"/>
      <c r="B72" s="235"/>
      <c r="C72" s="505" t="s">
        <v>9</v>
      </c>
      <c r="D72" s="505" t="s">
        <v>8</v>
      </c>
      <c r="E72" s="496"/>
      <c r="F72" s="499"/>
      <c r="G72" s="511"/>
      <c r="H72" s="508"/>
      <c r="I72" s="499"/>
      <c r="J72" s="499"/>
      <c r="K72" s="470"/>
      <c r="L72" s="510" t="s">
        <v>148</v>
      </c>
      <c r="M72" s="509"/>
      <c r="N72" s="501">
        <f>O72/1.12</f>
        <v>99492</v>
      </c>
      <c r="O72" s="501">
        <f>18571.84*S72</f>
        <v>111431.04000000001</v>
      </c>
      <c r="P72" s="501">
        <f>N72</f>
        <v>99492</v>
      </c>
      <c r="Q72" s="501">
        <f>O72</f>
        <v>111431.04000000001</v>
      </c>
      <c r="R72" s="432"/>
      <c r="S72" s="508">
        <v>6</v>
      </c>
      <c r="T72" s="487"/>
      <c r="U72" s="487"/>
      <c r="V72" s="487"/>
      <c r="W72" s="487"/>
      <c r="X72" s="487"/>
      <c r="Y72" s="487"/>
      <c r="Z72" s="499"/>
      <c r="AA72" s="499"/>
      <c r="AB72" s="499"/>
      <c r="AC72" s="499"/>
      <c r="AD72" s="499"/>
      <c r="AE72" s="499"/>
      <c r="AF72" s="499">
        <f>Z72+AC72+W72+T72</f>
        <v>0</v>
      </c>
      <c r="AG72" s="499">
        <f>AA72+AD72+X72+U72</f>
        <v>0</v>
      </c>
      <c r="AH72" s="499"/>
      <c r="AI72" s="499"/>
      <c r="AJ72" s="499">
        <f>AI72*1.12</f>
        <v>0</v>
      </c>
      <c r="AK72" s="499"/>
      <c r="AL72" s="507">
        <f>ROUND(P72/1000,0)</f>
        <v>99</v>
      </c>
      <c r="AM72" s="496">
        <f>AL72*1.12</f>
        <v>110.88000000000001</v>
      </c>
      <c r="AN72" s="507">
        <v>6</v>
      </c>
      <c r="AO72" s="496">
        <f>AL72-AI72</f>
        <v>99</v>
      </c>
      <c r="AP72" s="496">
        <f>AM72-AJ72</f>
        <v>110.88000000000001</v>
      </c>
      <c r="AQ72" s="496"/>
      <c r="AR72" s="498" t="str">
        <f>IF(AI72=0,"",AL72/AI72)</f>
        <v/>
      </c>
      <c r="AS72" s="497"/>
      <c r="AT72" s="497"/>
      <c r="AU72" s="497"/>
      <c r="AV72" s="496"/>
      <c r="AW72" s="496">
        <f>AV72</f>
        <v>0</v>
      </c>
      <c r="AX72" s="496"/>
      <c r="AY72" s="496"/>
      <c r="AZ72" s="496"/>
      <c r="BA72" s="496"/>
      <c r="BB72" s="496"/>
      <c r="BC72" s="496"/>
      <c r="BD72" s="496"/>
      <c r="BE72" s="496"/>
      <c r="BF72" s="496"/>
      <c r="BG72" s="496"/>
      <c r="BH72" s="496"/>
      <c r="BI72" s="496"/>
      <c r="BJ72" s="496"/>
      <c r="BK72" s="496"/>
      <c r="BL72" s="496"/>
      <c r="BM72" s="506" t="s">
        <v>132</v>
      </c>
      <c r="BN72" s="494"/>
      <c r="BO72" s="494"/>
      <c r="BP72" s="494"/>
      <c r="BQ72" s="494"/>
      <c r="BR72" s="494"/>
      <c r="BS72" s="494"/>
      <c r="BT72" s="494"/>
      <c r="BW72" s="480"/>
      <c r="BX72" s="479"/>
    </row>
    <row r="73" spans="1:76" s="478" customFormat="1" ht="12" hidden="1" outlineLevel="1" x14ac:dyDescent="0.25">
      <c r="A73" s="436"/>
      <c r="B73" s="235"/>
      <c r="C73" s="505" t="s">
        <v>6</v>
      </c>
      <c r="D73" s="505" t="s">
        <v>26</v>
      </c>
      <c r="E73" s="496"/>
      <c r="F73" s="499"/>
      <c r="G73" s="504"/>
      <c r="H73" s="500"/>
      <c r="I73" s="499"/>
      <c r="J73" s="499"/>
      <c r="K73" s="470"/>
      <c r="L73" s="503"/>
      <c r="M73" s="502"/>
      <c r="N73" s="501">
        <f>N72</f>
        <v>99492</v>
      </c>
      <c r="O73" s="501">
        <f>O72</f>
        <v>111431.04000000001</v>
      </c>
      <c r="P73" s="501">
        <f>N73</f>
        <v>99492</v>
      </c>
      <c r="Q73" s="501">
        <f>O73</f>
        <v>111431.04000000001</v>
      </c>
      <c r="R73" s="432"/>
      <c r="S73" s="500"/>
      <c r="T73" s="487"/>
      <c r="U73" s="487"/>
      <c r="V73" s="487"/>
      <c r="W73" s="487"/>
      <c r="X73" s="487"/>
      <c r="Y73" s="487"/>
      <c r="Z73" s="499"/>
      <c r="AA73" s="499"/>
      <c r="AB73" s="499"/>
      <c r="AC73" s="499"/>
      <c r="AD73" s="499"/>
      <c r="AE73" s="499"/>
      <c r="AF73" s="499">
        <f>Z73+AC73+W73+T73</f>
        <v>0</v>
      </c>
      <c r="AG73" s="499">
        <f>AA73+AD73+X73+U73</f>
        <v>0</v>
      </c>
      <c r="AH73" s="499"/>
      <c r="AI73" s="499"/>
      <c r="AJ73" s="499">
        <f>AI73*1.12</f>
        <v>0</v>
      </c>
      <c r="AK73" s="499"/>
      <c r="AL73" s="499"/>
      <c r="AM73" s="496">
        <f>AL73*1.12</f>
        <v>0</v>
      </c>
      <c r="AN73" s="499"/>
      <c r="AO73" s="496">
        <f>AL73-AI73</f>
        <v>0</v>
      </c>
      <c r="AP73" s="496">
        <f>AM73-AJ73</f>
        <v>0</v>
      </c>
      <c r="AQ73" s="496"/>
      <c r="AR73" s="498" t="str">
        <f>IF(AI73=0,"",AL73/AI73)</f>
        <v/>
      </c>
      <c r="AS73" s="497"/>
      <c r="AT73" s="497"/>
      <c r="AU73" s="497"/>
      <c r="AV73" s="496">
        <f>AV72</f>
        <v>0</v>
      </c>
      <c r="AW73" s="496">
        <f>AV73*1.12</f>
        <v>0</v>
      </c>
      <c r="AX73" s="496"/>
      <c r="AY73" s="496"/>
      <c r="AZ73" s="496"/>
      <c r="BA73" s="496"/>
      <c r="BB73" s="496"/>
      <c r="BC73" s="496"/>
      <c r="BD73" s="496"/>
      <c r="BE73" s="496"/>
      <c r="BF73" s="496"/>
      <c r="BG73" s="496"/>
      <c r="BH73" s="496"/>
      <c r="BI73" s="496"/>
      <c r="BJ73" s="496"/>
      <c r="BK73" s="496"/>
      <c r="BL73" s="496"/>
      <c r="BM73" s="495"/>
      <c r="BN73" s="494"/>
      <c r="BO73" s="494"/>
      <c r="BP73" s="494"/>
      <c r="BQ73" s="494"/>
      <c r="BR73" s="494"/>
      <c r="BS73" s="494"/>
      <c r="BT73" s="494"/>
      <c r="BW73" s="480"/>
      <c r="BX73" s="479"/>
    </row>
    <row r="74" spans="1:76" s="478" customFormat="1" ht="12" hidden="1" outlineLevel="1" x14ac:dyDescent="0.25">
      <c r="A74" s="436"/>
      <c r="B74" s="235"/>
      <c r="C74" s="493" t="s">
        <v>6</v>
      </c>
      <c r="D74" s="493" t="s">
        <v>5</v>
      </c>
      <c r="E74" s="483"/>
      <c r="F74" s="486"/>
      <c r="G74" s="492"/>
      <c r="H74" s="488"/>
      <c r="I74" s="486"/>
      <c r="J74" s="486"/>
      <c r="K74" s="470"/>
      <c r="L74" s="491"/>
      <c r="M74" s="490"/>
      <c r="N74" s="489">
        <f>N73</f>
        <v>99492</v>
      </c>
      <c r="O74" s="489">
        <f>O73</f>
        <v>111431.04000000001</v>
      </c>
      <c r="P74" s="489">
        <f>N74</f>
        <v>99492</v>
      </c>
      <c r="Q74" s="489">
        <f>O74</f>
        <v>111431.04000000001</v>
      </c>
      <c r="R74" s="432"/>
      <c r="S74" s="488"/>
      <c r="T74" s="487"/>
      <c r="U74" s="487"/>
      <c r="V74" s="487"/>
      <c r="W74" s="487"/>
      <c r="X74" s="487"/>
      <c r="Y74" s="487"/>
      <c r="Z74" s="486"/>
      <c r="AA74" s="486"/>
      <c r="AB74" s="486"/>
      <c r="AC74" s="486"/>
      <c r="AD74" s="486"/>
      <c r="AE74" s="486"/>
      <c r="AF74" s="486">
        <f>Z74+AC74+W74+T74</f>
        <v>0</v>
      </c>
      <c r="AG74" s="486">
        <f>AA74+AD74+X74+U74</f>
        <v>0</v>
      </c>
      <c r="AH74" s="486"/>
      <c r="AI74" s="486"/>
      <c r="AJ74" s="486">
        <f>AI74*1.12</f>
        <v>0</v>
      </c>
      <c r="AK74" s="486"/>
      <c r="AL74" s="486"/>
      <c r="AM74" s="483">
        <f>AL74*1.12</f>
        <v>0</v>
      </c>
      <c r="AN74" s="486"/>
      <c r="AO74" s="483">
        <f>AL74-AI74</f>
        <v>0</v>
      </c>
      <c r="AP74" s="483">
        <f>AM74-AJ74</f>
        <v>0</v>
      </c>
      <c r="AQ74" s="483"/>
      <c r="AR74" s="485" t="str">
        <f>IF(AI74=0,"",AL74/AI74)</f>
        <v/>
      </c>
      <c r="AS74" s="484"/>
      <c r="AT74" s="484"/>
      <c r="AU74" s="484"/>
      <c r="AV74" s="483">
        <f>AV73</f>
        <v>0</v>
      </c>
      <c r="AW74" s="483">
        <f>AV74*1.12</f>
        <v>0</v>
      </c>
      <c r="AX74" s="483"/>
      <c r="AY74" s="483"/>
      <c r="AZ74" s="483"/>
      <c r="BA74" s="483"/>
      <c r="BB74" s="483"/>
      <c r="BC74" s="483"/>
      <c r="BD74" s="483"/>
      <c r="BE74" s="483"/>
      <c r="BF74" s="483"/>
      <c r="BG74" s="483"/>
      <c r="BH74" s="483"/>
      <c r="BI74" s="483"/>
      <c r="BJ74" s="483"/>
      <c r="BK74" s="483"/>
      <c r="BL74" s="483"/>
      <c r="BM74" s="482"/>
      <c r="BN74" s="481"/>
      <c r="BO74" s="481"/>
      <c r="BP74" s="481"/>
      <c r="BQ74" s="481"/>
      <c r="BR74" s="481"/>
      <c r="BS74" s="481"/>
      <c r="BT74" s="481"/>
      <c r="BW74" s="480"/>
      <c r="BX74" s="479"/>
    </row>
    <row r="75" spans="1:76" s="478" customFormat="1" ht="12" hidden="1" outlineLevel="1" x14ac:dyDescent="0.25">
      <c r="A75" s="436"/>
      <c r="B75" s="235"/>
      <c r="C75" s="505" t="s">
        <v>9</v>
      </c>
      <c r="D75" s="505" t="s">
        <v>8</v>
      </c>
      <c r="E75" s="496"/>
      <c r="F75" s="499"/>
      <c r="G75" s="511"/>
      <c r="H75" s="508"/>
      <c r="I75" s="499"/>
      <c r="J75" s="499"/>
      <c r="K75" s="470"/>
      <c r="L75" s="510" t="s">
        <v>147</v>
      </c>
      <c r="M75" s="509"/>
      <c r="N75" s="501">
        <f>O75/1.12</f>
        <v>116527.99999999999</v>
      </c>
      <c r="O75" s="501">
        <f>16313.92*S75</f>
        <v>130511.36</v>
      </c>
      <c r="P75" s="501">
        <f>N75</f>
        <v>116527.99999999999</v>
      </c>
      <c r="Q75" s="501">
        <f>O75</f>
        <v>130511.36</v>
      </c>
      <c r="R75" s="432"/>
      <c r="S75" s="508">
        <v>8</v>
      </c>
      <c r="T75" s="487"/>
      <c r="U75" s="487"/>
      <c r="V75" s="487"/>
      <c r="W75" s="487"/>
      <c r="X75" s="487"/>
      <c r="Y75" s="487"/>
      <c r="Z75" s="499"/>
      <c r="AA75" s="499"/>
      <c r="AB75" s="499"/>
      <c r="AC75" s="499"/>
      <c r="AD75" s="499"/>
      <c r="AE75" s="499"/>
      <c r="AF75" s="499">
        <f>Z75+AC75+W75+T75</f>
        <v>0</v>
      </c>
      <c r="AG75" s="499">
        <f>AA75+AD75+X75+U75</f>
        <v>0</v>
      </c>
      <c r="AH75" s="499"/>
      <c r="AI75" s="499"/>
      <c r="AJ75" s="499">
        <f>AI75*1.12</f>
        <v>0</v>
      </c>
      <c r="AK75" s="499"/>
      <c r="AL75" s="507">
        <f>ROUND(P75/1000,0)-1</f>
        <v>116</v>
      </c>
      <c r="AM75" s="496">
        <f>AL75*1.12</f>
        <v>129.92000000000002</v>
      </c>
      <c r="AN75" s="507">
        <v>8</v>
      </c>
      <c r="AO75" s="496">
        <f>AL75-AI75</f>
        <v>116</v>
      </c>
      <c r="AP75" s="496">
        <f>AM75-AJ75</f>
        <v>129.92000000000002</v>
      </c>
      <c r="AQ75" s="496"/>
      <c r="AR75" s="498" t="str">
        <f>IF(AI75=0,"",AL75/AI75)</f>
        <v/>
      </c>
      <c r="AS75" s="497"/>
      <c r="AT75" s="497"/>
      <c r="AU75" s="497"/>
      <c r="AV75" s="496"/>
      <c r="AW75" s="496">
        <f>AV75</f>
        <v>0</v>
      </c>
      <c r="AX75" s="496"/>
      <c r="AY75" s="496"/>
      <c r="AZ75" s="496"/>
      <c r="BA75" s="496"/>
      <c r="BB75" s="496"/>
      <c r="BC75" s="496"/>
      <c r="BD75" s="496"/>
      <c r="BE75" s="496"/>
      <c r="BF75" s="496"/>
      <c r="BG75" s="496"/>
      <c r="BH75" s="496"/>
      <c r="BI75" s="496"/>
      <c r="BJ75" s="496"/>
      <c r="BK75" s="496"/>
      <c r="BL75" s="496"/>
      <c r="BM75" s="506" t="s">
        <v>146</v>
      </c>
      <c r="BN75" s="494"/>
      <c r="BO75" s="494"/>
      <c r="BP75" s="494"/>
      <c r="BQ75" s="494"/>
      <c r="BR75" s="494"/>
      <c r="BS75" s="494"/>
      <c r="BT75" s="494"/>
      <c r="BW75" s="480"/>
      <c r="BX75" s="479"/>
    </row>
    <row r="76" spans="1:76" s="478" customFormat="1" ht="12" hidden="1" outlineLevel="1" x14ac:dyDescent="0.25">
      <c r="A76" s="436"/>
      <c r="B76" s="235"/>
      <c r="C76" s="505" t="s">
        <v>6</v>
      </c>
      <c r="D76" s="505" t="s">
        <v>26</v>
      </c>
      <c r="E76" s="496"/>
      <c r="F76" s="499"/>
      <c r="G76" s="504"/>
      <c r="H76" s="500"/>
      <c r="I76" s="499"/>
      <c r="J76" s="499"/>
      <c r="K76" s="470"/>
      <c r="L76" s="503"/>
      <c r="M76" s="502"/>
      <c r="N76" s="501">
        <f>N75</f>
        <v>116527.99999999999</v>
      </c>
      <c r="O76" s="501">
        <f>O75</f>
        <v>130511.36</v>
      </c>
      <c r="P76" s="501">
        <f>N76</f>
        <v>116527.99999999999</v>
      </c>
      <c r="Q76" s="501">
        <f>O76</f>
        <v>130511.36</v>
      </c>
      <c r="R76" s="432"/>
      <c r="S76" s="500"/>
      <c r="T76" s="487"/>
      <c r="U76" s="487"/>
      <c r="V76" s="487"/>
      <c r="W76" s="487"/>
      <c r="X76" s="487"/>
      <c r="Y76" s="487"/>
      <c r="Z76" s="499"/>
      <c r="AA76" s="499"/>
      <c r="AB76" s="499"/>
      <c r="AC76" s="499"/>
      <c r="AD76" s="499"/>
      <c r="AE76" s="499"/>
      <c r="AF76" s="499">
        <f>Z76+AC76+W76+T76</f>
        <v>0</v>
      </c>
      <c r="AG76" s="499">
        <f>AA76+AD76+X76+U76</f>
        <v>0</v>
      </c>
      <c r="AH76" s="499"/>
      <c r="AI76" s="499"/>
      <c r="AJ76" s="499">
        <f>AI76*1.12</f>
        <v>0</v>
      </c>
      <c r="AK76" s="499"/>
      <c r="AL76" s="499"/>
      <c r="AM76" s="496">
        <f>AL76*1.12</f>
        <v>0</v>
      </c>
      <c r="AN76" s="499"/>
      <c r="AO76" s="496">
        <f>AL76-AI76</f>
        <v>0</v>
      </c>
      <c r="AP76" s="496">
        <f>AM76-AJ76</f>
        <v>0</v>
      </c>
      <c r="AQ76" s="496"/>
      <c r="AR76" s="498" t="str">
        <f>IF(AI76=0,"",AL76/AI76)</f>
        <v/>
      </c>
      <c r="AS76" s="497"/>
      <c r="AT76" s="497"/>
      <c r="AU76" s="497"/>
      <c r="AV76" s="496">
        <f>AV75</f>
        <v>0</v>
      </c>
      <c r="AW76" s="496">
        <f>AV76*1.12</f>
        <v>0</v>
      </c>
      <c r="AX76" s="496"/>
      <c r="AY76" s="496"/>
      <c r="AZ76" s="496"/>
      <c r="BA76" s="496"/>
      <c r="BB76" s="496"/>
      <c r="BC76" s="496"/>
      <c r="BD76" s="496"/>
      <c r="BE76" s="496"/>
      <c r="BF76" s="496"/>
      <c r="BG76" s="496"/>
      <c r="BH76" s="496"/>
      <c r="BI76" s="496"/>
      <c r="BJ76" s="496"/>
      <c r="BK76" s="496"/>
      <c r="BL76" s="496"/>
      <c r="BM76" s="495"/>
      <c r="BN76" s="494"/>
      <c r="BO76" s="494"/>
      <c r="BP76" s="494"/>
      <c r="BQ76" s="494"/>
      <c r="BR76" s="494"/>
      <c r="BS76" s="494"/>
      <c r="BT76" s="494"/>
      <c r="BW76" s="480"/>
      <c r="BX76" s="479"/>
    </row>
    <row r="77" spans="1:76" s="478" customFormat="1" ht="12" hidden="1" outlineLevel="1" x14ac:dyDescent="0.25">
      <c r="A77" s="436"/>
      <c r="B77" s="235"/>
      <c r="C77" s="493" t="s">
        <v>6</v>
      </c>
      <c r="D77" s="493" t="s">
        <v>5</v>
      </c>
      <c r="E77" s="483"/>
      <c r="F77" s="486"/>
      <c r="G77" s="492"/>
      <c r="H77" s="488"/>
      <c r="I77" s="486"/>
      <c r="J77" s="486"/>
      <c r="K77" s="470"/>
      <c r="L77" s="491"/>
      <c r="M77" s="490"/>
      <c r="N77" s="489">
        <f>N76</f>
        <v>116527.99999999999</v>
      </c>
      <c r="O77" s="489">
        <f>O76</f>
        <v>130511.36</v>
      </c>
      <c r="P77" s="489">
        <f>N77</f>
        <v>116527.99999999999</v>
      </c>
      <c r="Q77" s="489">
        <f>O77</f>
        <v>130511.36</v>
      </c>
      <c r="R77" s="432"/>
      <c r="S77" s="488"/>
      <c r="T77" s="487"/>
      <c r="U77" s="487"/>
      <c r="V77" s="487"/>
      <c r="W77" s="487"/>
      <c r="X77" s="487"/>
      <c r="Y77" s="487"/>
      <c r="Z77" s="486"/>
      <c r="AA77" s="486"/>
      <c r="AB77" s="486"/>
      <c r="AC77" s="486"/>
      <c r="AD77" s="486"/>
      <c r="AE77" s="486"/>
      <c r="AF77" s="486">
        <f>Z77+AC77+W77+T77</f>
        <v>0</v>
      </c>
      <c r="AG77" s="486">
        <f>AA77+AD77+X77+U77</f>
        <v>0</v>
      </c>
      <c r="AH77" s="486"/>
      <c r="AI77" s="486"/>
      <c r="AJ77" s="486">
        <f>AI77*1.12</f>
        <v>0</v>
      </c>
      <c r="AK77" s="486"/>
      <c r="AL77" s="486"/>
      <c r="AM77" s="483">
        <f>AL77*1.12</f>
        <v>0</v>
      </c>
      <c r="AN77" s="486"/>
      <c r="AO77" s="483">
        <f>AL77-AI77</f>
        <v>0</v>
      </c>
      <c r="AP77" s="483">
        <f>AM77-AJ77</f>
        <v>0</v>
      </c>
      <c r="AQ77" s="483"/>
      <c r="AR77" s="485" t="str">
        <f>IF(AI77=0,"",AL77/AI77)</f>
        <v/>
      </c>
      <c r="AS77" s="484"/>
      <c r="AT77" s="484"/>
      <c r="AU77" s="484"/>
      <c r="AV77" s="483">
        <f>AV76</f>
        <v>0</v>
      </c>
      <c r="AW77" s="483">
        <f>AV77*1.12</f>
        <v>0</v>
      </c>
      <c r="AX77" s="483"/>
      <c r="AY77" s="483"/>
      <c r="AZ77" s="483"/>
      <c r="BA77" s="483"/>
      <c r="BB77" s="483"/>
      <c r="BC77" s="483"/>
      <c r="BD77" s="483"/>
      <c r="BE77" s="483"/>
      <c r="BF77" s="483"/>
      <c r="BG77" s="483"/>
      <c r="BH77" s="483"/>
      <c r="BI77" s="483"/>
      <c r="BJ77" s="483"/>
      <c r="BK77" s="483"/>
      <c r="BL77" s="483"/>
      <c r="BM77" s="482"/>
      <c r="BN77" s="481"/>
      <c r="BO77" s="481"/>
      <c r="BP77" s="481"/>
      <c r="BQ77" s="481"/>
      <c r="BR77" s="481"/>
      <c r="BS77" s="481"/>
      <c r="BT77" s="481"/>
      <c r="BW77" s="480"/>
      <c r="BX77" s="479"/>
    </row>
    <row r="78" spans="1:76" s="478" customFormat="1" ht="12" hidden="1" outlineLevel="1" x14ac:dyDescent="0.25">
      <c r="A78" s="436"/>
      <c r="B78" s="235"/>
      <c r="C78" s="505" t="s">
        <v>9</v>
      </c>
      <c r="D78" s="505" t="s">
        <v>8</v>
      </c>
      <c r="E78" s="496"/>
      <c r="F78" s="499"/>
      <c r="G78" s="511"/>
      <c r="H78" s="508"/>
      <c r="I78" s="499"/>
      <c r="J78" s="499"/>
      <c r="K78" s="470"/>
      <c r="L78" s="510" t="s">
        <v>145</v>
      </c>
      <c r="M78" s="509"/>
      <c r="N78" s="501">
        <f>O78/1.12</f>
        <v>495999.99999999994</v>
      </c>
      <c r="O78" s="501">
        <f>17920*S78</f>
        <v>555520</v>
      </c>
      <c r="P78" s="501">
        <f>N78</f>
        <v>495999.99999999994</v>
      </c>
      <c r="Q78" s="501">
        <f>O78</f>
        <v>555520</v>
      </c>
      <c r="R78" s="432"/>
      <c r="S78" s="508">
        <v>31</v>
      </c>
      <c r="T78" s="487"/>
      <c r="U78" s="487"/>
      <c r="V78" s="487"/>
      <c r="W78" s="487"/>
      <c r="X78" s="487"/>
      <c r="Y78" s="487"/>
      <c r="Z78" s="499"/>
      <c r="AA78" s="499"/>
      <c r="AB78" s="499"/>
      <c r="AC78" s="499"/>
      <c r="AD78" s="499"/>
      <c r="AE78" s="499"/>
      <c r="AF78" s="499">
        <f>Z78+AC78+W78+T78</f>
        <v>0</v>
      </c>
      <c r="AG78" s="499">
        <f>AA78+AD78+X78+U78</f>
        <v>0</v>
      </c>
      <c r="AH78" s="499"/>
      <c r="AI78" s="499"/>
      <c r="AJ78" s="499">
        <f>AI78*1.12</f>
        <v>0</v>
      </c>
      <c r="AK78" s="499"/>
      <c r="AL78" s="507">
        <f>ROUND(P78/1000,0)</f>
        <v>496</v>
      </c>
      <c r="AM78" s="496">
        <f>AL78*1.12</f>
        <v>555.5200000000001</v>
      </c>
      <c r="AN78" s="507">
        <v>31</v>
      </c>
      <c r="AO78" s="496">
        <f>AL78-AI78</f>
        <v>496</v>
      </c>
      <c r="AP78" s="496">
        <f>AM78-AJ78</f>
        <v>555.5200000000001</v>
      </c>
      <c r="AQ78" s="496"/>
      <c r="AR78" s="498" t="str">
        <f>IF(AI78=0,"",AL78/AI78)</f>
        <v/>
      </c>
      <c r="AS78" s="497"/>
      <c r="AT78" s="497"/>
      <c r="AU78" s="497"/>
      <c r="AV78" s="496"/>
      <c r="AW78" s="496">
        <f>AV78</f>
        <v>0</v>
      </c>
      <c r="AX78" s="496"/>
      <c r="AY78" s="496"/>
      <c r="AZ78" s="496"/>
      <c r="BA78" s="496"/>
      <c r="BB78" s="496"/>
      <c r="BC78" s="496"/>
      <c r="BD78" s="496"/>
      <c r="BE78" s="496"/>
      <c r="BF78" s="496"/>
      <c r="BG78" s="496"/>
      <c r="BH78" s="496"/>
      <c r="BI78" s="496"/>
      <c r="BJ78" s="496"/>
      <c r="BK78" s="496"/>
      <c r="BL78" s="496"/>
      <c r="BM78" s="506" t="s">
        <v>129</v>
      </c>
      <c r="BN78" s="494"/>
      <c r="BO78" s="494"/>
      <c r="BP78" s="494"/>
      <c r="BQ78" s="494"/>
      <c r="BR78" s="494"/>
      <c r="BS78" s="494"/>
      <c r="BT78" s="494"/>
      <c r="BW78" s="480"/>
      <c r="BX78" s="479"/>
    </row>
    <row r="79" spans="1:76" s="478" customFormat="1" ht="12" hidden="1" outlineLevel="1" x14ac:dyDescent="0.25">
      <c r="A79" s="436"/>
      <c r="B79" s="235"/>
      <c r="C79" s="505" t="s">
        <v>6</v>
      </c>
      <c r="D79" s="505" t="s">
        <v>26</v>
      </c>
      <c r="E79" s="496"/>
      <c r="F79" s="499"/>
      <c r="G79" s="504"/>
      <c r="H79" s="500"/>
      <c r="I79" s="499"/>
      <c r="J79" s="499"/>
      <c r="K79" s="470"/>
      <c r="L79" s="503"/>
      <c r="M79" s="502"/>
      <c r="N79" s="501">
        <f>N78</f>
        <v>495999.99999999994</v>
      </c>
      <c r="O79" s="501">
        <f>O78</f>
        <v>555520</v>
      </c>
      <c r="P79" s="501">
        <f>N79</f>
        <v>495999.99999999994</v>
      </c>
      <c r="Q79" s="501">
        <f>O79</f>
        <v>555520</v>
      </c>
      <c r="R79" s="432"/>
      <c r="S79" s="500"/>
      <c r="T79" s="487"/>
      <c r="U79" s="487"/>
      <c r="V79" s="487"/>
      <c r="W79" s="487"/>
      <c r="X79" s="487"/>
      <c r="Y79" s="487"/>
      <c r="Z79" s="499"/>
      <c r="AA79" s="499"/>
      <c r="AB79" s="499"/>
      <c r="AC79" s="499"/>
      <c r="AD79" s="499"/>
      <c r="AE79" s="499"/>
      <c r="AF79" s="499">
        <f>Z79+AC79+W79+T79</f>
        <v>0</v>
      </c>
      <c r="AG79" s="499">
        <f>AA79+AD79+X79+U79</f>
        <v>0</v>
      </c>
      <c r="AH79" s="499"/>
      <c r="AI79" s="499"/>
      <c r="AJ79" s="499">
        <f>AI79*1.12</f>
        <v>0</v>
      </c>
      <c r="AK79" s="499"/>
      <c r="AL79" s="499"/>
      <c r="AM79" s="496">
        <f>AL79*1.12</f>
        <v>0</v>
      </c>
      <c r="AN79" s="499"/>
      <c r="AO79" s="496">
        <f>AL79-AI79</f>
        <v>0</v>
      </c>
      <c r="AP79" s="496">
        <f>AM79-AJ79</f>
        <v>0</v>
      </c>
      <c r="AQ79" s="496"/>
      <c r="AR79" s="498" t="str">
        <f>IF(AI79=0,"",AL79/AI79)</f>
        <v/>
      </c>
      <c r="AS79" s="497"/>
      <c r="AT79" s="497"/>
      <c r="AU79" s="497"/>
      <c r="AV79" s="496">
        <f>AV78</f>
        <v>0</v>
      </c>
      <c r="AW79" s="496">
        <f>AV79*1.12</f>
        <v>0</v>
      </c>
      <c r="AX79" s="496"/>
      <c r="AY79" s="496"/>
      <c r="AZ79" s="496"/>
      <c r="BA79" s="496"/>
      <c r="BB79" s="496"/>
      <c r="BC79" s="496"/>
      <c r="BD79" s="496"/>
      <c r="BE79" s="496"/>
      <c r="BF79" s="496"/>
      <c r="BG79" s="496"/>
      <c r="BH79" s="496"/>
      <c r="BI79" s="496"/>
      <c r="BJ79" s="496"/>
      <c r="BK79" s="496"/>
      <c r="BL79" s="496"/>
      <c r="BM79" s="495"/>
      <c r="BN79" s="494"/>
      <c r="BO79" s="494"/>
      <c r="BP79" s="494"/>
      <c r="BQ79" s="494"/>
      <c r="BR79" s="494"/>
      <c r="BS79" s="494"/>
      <c r="BT79" s="494"/>
      <c r="BW79" s="480"/>
      <c r="BX79" s="479"/>
    </row>
    <row r="80" spans="1:76" s="478" customFormat="1" ht="12" hidden="1" outlineLevel="1" x14ac:dyDescent="0.25">
      <c r="A80" s="436"/>
      <c r="B80" s="235"/>
      <c r="C80" s="493" t="s">
        <v>6</v>
      </c>
      <c r="D80" s="493" t="s">
        <v>5</v>
      </c>
      <c r="E80" s="483"/>
      <c r="F80" s="486"/>
      <c r="G80" s="492"/>
      <c r="H80" s="488"/>
      <c r="I80" s="486"/>
      <c r="J80" s="486"/>
      <c r="K80" s="470"/>
      <c r="L80" s="491"/>
      <c r="M80" s="490"/>
      <c r="N80" s="489">
        <f>N79</f>
        <v>495999.99999999994</v>
      </c>
      <c r="O80" s="489">
        <f>O79</f>
        <v>555520</v>
      </c>
      <c r="P80" s="489">
        <f>N80</f>
        <v>495999.99999999994</v>
      </c>
      <c r="Q80" s="489">
        <f>O80</f>
        <v>555520</v>
      </c>
      <c r="R80" s="432"/>
      <c r="S80" s="488"/>
      <c r="T80" s="487"/>
      <c r="U80" s="487"/>
      <c r="V80" s="487"/>
      <c r="W80" s="487"/>
      <c r="X80" s="487"/>
      <c r="Y80" s="487"/>
      <c r="Z80" s="486"/>
      <c r="AA80" s="486"/>
      <c r="AB80" s="486"/>
      <c r="AC80" s="486"/>
      <c r="AD80" s="486"/>
      <c r="AE80" s="486"/>
      <c r="AF80" s="486">
        <f>Z80+AC80+W80+T80</f>
        <v>0</v>
      </c>
      <c r="AG80" s="486">
        <f>AA80+AD80+X80+U80</f>
        <v>0</v>
      </c>
      <c r="AH80" s="486"/>
      <c r="AI80" s="486"/>
      <c r="AJ80" s="486">
        <f>AI80*1.12</f>
        <v>0</v>
      </c>
      <c r="AK80" s="486"/>
      <c r="AL80" s="486"/>
      <c r="AM80" s="483">
        <f>AL80*1.12</f>
        <v>0</v>
      </c>
      <c r="AN80" s="486"/>
      <c r="AO80" s="483">
        <f>AL80-AI80</f>
        <v>0</v>
      </c>
      <c r="AP80" s="483">
        <f>AM80-AJ80</f>
        <v>0</v>
      </c>
      <c r="AQ80" s="483"/>
      <c r="AR80" s="485" t="str">
        <f>IF(AI80=0,"",AL80/AI80)</f>
        <v/>
      </c>
      <c r="AS80" s="484"/>
      <c r="AT80" s="484"/>
      <c r="AU80" s="484"/>
      <c r="AV80" s="483">
        <f>AV79</f>
        <v>0</v>
      </c>
      <c r="AW80" s="483">
        <f>AV80*1.12</f>
        <v>0</v>
      </c>
      <c r="AX80" s="483"/>
      <c r="AY80" s="483"/>
      <c r="AZ80" s="483"/>
      <c r="BA80" s="483"/>
      <c r="BB80" s="483"/>
      <c r="BC80" s="483"/>
      <c r="BD80" s="483"/>
      <c r="BE80" s="483"/>
      <c r="BF80" s="483"/>
      <c r="BG80" s="483"/>
      <c r="BH80" s="483"/>
      <c r="BI80" s="483"/>
      <c r="BJ80" s="483"/>
      <c r="BK80" s="483"/>
      <c r="BL80" s="483"/>
      <c r="BM80" s="482"/>
      <c r="BN80" s="481"/>
      <c r="BO80" s="481"/>
      <c r="BP80" s="481"/>
      <c r="BQ80" s="481"/>
      <c r="BR80" s="481"/>
      <c r="BS80" s="481"/>
      <c r="BT80" s="481"/>
      <c r="BW80" s="480"/>
      <c r="BX80" s="479"/>
    </row>
    <row r="81" spans="1:76" s="478" customFormat="1" ht="12" hidden="1" outlineLevel="1" x14ac:dyDescent="0.25">
      <c r="A81" s="436"/>
      <c r="B81" s="235"/>
      <c r="C81" s="505" t="s">
        <v>9</v>
      </c>
      <c r="D81" s="505" t="s">
        <v>8</v>
      </c>
      <c r="E81" s="496"/>
      <c r="F81" s="499"/>
      <c r="G81" s="511"/>
      <c r="H81" s="508"/>
      <c r="I81" s="499"/>
      <c r="J81" s="499"/>
      <c r="K81" s="470"/>
      <c r="L81" s="510" t="s">
        <v>144</v>
      </c>
      <c r="M81" s="509"/>
      <c r="N81" s="501">
        <f>O81/1.12</f>
        <v>201499.99999999997</v>
      </c>
      <c r="O81" s="501">
        <f>17360*S81</f>
        <v>225680</v>
      </c>
      <c r="P81" s="501">
        <f>N81</f>
        <v>201499.99999999997</v>
      </c>
      <c r="Q81" s="501">
        <f>O81</f>
        <v>225680</v>
      </c>
      <c r="R81" s="432"/>
      <c r="S81" s="508">
        <v>13</v>
      </c>
      <c r="T81" s="487"/>
      <c r="U81" s="487"/>
      <c r="V81" s="487"/>
      <c r="W81" s="487"/>
      <c r="X81" s="487"/>
      <c r="Y81" s="487"/>
      <c r="Z81" s="499"/>
      <c r="AA81" s="499"/>
      <c r="AB81" s="499"/>
      <c r="AC81" s="499"/>
      <c r="AD81" s="499"/>
      <c r="AE81" s="499"/>
      <c r="AF81" s="499">
        <f>Z81+AC81+W81+T81</f>
        <v>0</v>
      </c>
      <c r="AG81" s="499">
        <f>AA81+AD81+X81+U81</f>
        <v>0</v>
      </c>
      <c r="AH81" s="499"/>
      <c r="AI81" s="499"/>
      <c r="AJ81" s="499">
        <f>AI81*1.12</f>
        <v>0</v>
      </c>
      <c r="AK81" s="499"/>
      <c r="AL81" s="507">
        <f>ROUND(P81/1000,0)</f>
        <v>202</v>
      </c>
      <c r="AM81" s="496">
        <f>AL81*1.12</f>
        <v>226.24</v>
      </c>
      <c r="AN81" s="507">
        <v>13</v>
      </c>
      <c r="AO81" s="496">
        <f>AL81-AI81</f>
        <v>202</v>
      </c>
      <c r="AP81" s="496">
        <f>AM81-AJ81</f>
        <v>226.24</v>
      </c>
      <c r="AQ81" s="496"/>
      <c r="AR81" s="498" t="str">
        <f>IF(AI81=0,"",AL81/AI81)</f>
        <v/>
      </c>
      <c r="AS81" s="497"/>
      <c r="AT81" s="497"/>
      <c r="AU81" s="497"/>
      <c r="AV81" s="496"/>
      <c r="AW81" s="496">
        <f>AV81</f>
        <v>0</v>
      </c>
      <c r="AX81" s="496"/>
      <c r="AY81" s="496"/>
      <c r="AZ81" s="496"/>
      <c r="BA81" s="496"/>
      <c r="BB81" s="496"/>
      <c r="BC81" s="496"/>
      <c r="BD81" s="496"/>
      <c r="BE81" s="496"/>
      <c r="BF81" s="496"/>
      <c r="BG81" s="496"/>
      <c r="BH81" s="496"/>
      <c r="BI81" s="496"/>
      <c r="BJ81" s="496"/>
      <c r="BK81" s="496"/>
      <c r="BL81" s="496"/>
      <c r="BM81" s="506" t="s">
        <v>143</v>
      </c>
      <c r="BN81" s="494"/>
      <c r="BO81" s="494"/>
      <c r="BP81" s="494"/>
      <c r="BQ81" s="494"/>
      <c r="BR81" s="494"/>
      <c r="BS81" s="494"/>
      <c r="BT81" s="494"/>
      <c r="BW81" s="480"/>
      <c r="BX81" s="479"/>
    </row>
    <row r="82" spans="1:76" s="478" customFormat="1" ht="12" hidden="1" outlineLevel="1" x14ac:dyDescent="0.25">
      <c r="A82" s="436"/>
      <c r="B82" s="235"/>
      <c r="C82" s="505" t="s">
        <v>6</v>
      </c>
      <c r="D82" s="505" t="s">
        <v>26</v>
      </c>
      <c r="E82" s="496"/>
      <c r="F82" s="499"/>
      <c r="G82" s="504"/>
      <c r="H82" s="500"/>
      <c r="I82" s="499"/>
      <c r="J82" s="499"/>
      <c r="K82" s="470"/>
      <c r="L82" s="503"/>
      <c r="M82" s="502"/>
      <c r="N82" s="501">
        <f>N81</f>
        <v>201499.99999999997</v>
      </c>
      <c r="O82" s="501">
        <f>O81</f>
        <v>225680</v>
      </c>
      <c r="P82" s="501">
        <f>N82</f>
        <v>201499.99999999997</v>
      </c>
      <c r="Q82" s="501">
        <f>O82</f>
        <v>225680</v>
      </c>
      <c r="R82" s="432"/>
      <c r="S82" s="500"/>
      <c r="T82" s="487"/>
      <c r="U82" s="487"/>
      <c r="V82" s="487"/>
      <c r="W82" s="487"/>
      <c r="X82" s="487"/>
      <c r="Y82" s="487"/>
      <c r="Z82" s="499"/>
      <c r="AA82" s="499"/>
      <c r="AB82" s="499"/>
      <c r="AC82" s="499"/>
      <c r="AD82" s="499"/>
      <c r="AE82" s="499"/>
      <c r="AF82" s="499">
        <f>Z82+AC82+W82+T82</f>
        <v>0</v>
      </c>
      <c r="AG82" s="499">
        <f>AA82+AD82+X82+U82</f>
        <v>0</v>
      </c>
      <c r="AH82" s="499"/>
      <c r="AI82" s="499"/>
      <c r="AJ82" s="499">
        <f>AI82*1.12</f>
        <v>0</v>
      </c>
      <c r="AK82" s="499"/>
      <c r="AL82" s="499"/>
      <c r="AM82" s="496">
        <f>AL82*1.12</f>
        <v>0</v>
      </c>
      <c r="AN82" s="499"/>
      <c r="AO82" s="496">
        <f>AL82-AI82</f>
        <v>0</v>
      </c>
      <c r="AP82" s="496">
        <f>AM82-AJ82</f>
        <v>0</v>
      </c>
      <c r="AQ82" s="496"/>
      <c r="AR82" s="498" t="str">
        <f>IF(AI82=0,"",AL82/AI82)</f>
        <v/>
      </c>
      <c r="AS82" s="497"/>
      <c r="AT82" s="497"/>
      <c r="AU82" s="497"/>
      <c r="AV82" s="496">
        <f>AV81</f>
        <v>0</v>
      </c>
      <c r="AW82" s="496">
        <f>AV82*1.12</f>
        <v>0</v>
      </c>
      <c r="AX82" s="496"/>
      <c r="AY82" s="496"/>
      <c r="AZ82" s="496"/>
      <c r="BA82" s="496"/>
      <c r="BB82" s="496"/>
      <c r="BC82" s="496"/>
      <c r="BD82" s="496"/>
      <c r="BE82" s="496"/>
      <c r="BF82" s="496"/>
      <c r="BG82" s="496"/>
      <c r="BH82" s="496"/>
      <c r="BI82" s="496"/>
      <c r="BJ82" s="496"/>
      <c r="BK82" s="496"/>
      <c r="BL82" s="496"/>
      <c r="BM82" s="495"/>
      <c r="BN82" s="494"/>
      <c r="BO82" s="494"/>
      <c r="BP82" s="494"/>
      <c r="BQ82" s="494"/>
      <c r="BR82" s="494"/>
      <c r="BS82" s="494"/>
      <c r="BT82" s="494"/>
      <c r="BW82" s="480"/>
      <c r="BX82" s="479"/>
    </row>
    <row r="83" spans="1:76" s="478" customFormat="1" ht="12" hidden="1" outlineLevel="1" x14ac:dyDescent="0.25">
      <c r="A83" s="427"/>
      <c r="B83" s="233"/>
      <c r="C83" s="493" t="s">
        <v>6</v>
      </c>
      <c r="D83" s="493" t="s">
        <v>5</v>
      </c>
      <c r="E83" s="483"/>
      <c r="F83" s="486"/>
      <c r="G83" s="492"/>
      <c r="H83" s="488"/>
      <c r="I83" s="486"/>
      <c r="J83" s="486"/>
      <c r="K83" s="468"/>
      <c r="L83" s="491"/>
      <c r="M83" s="490"/>
      <c r="N83" s="489">
        <f>N82</f>
        <v>201499.99999999997</v>
      </c>
      <c r="O83" s="489">
        <f>O82</f>
        <v>225680</v>
      </c>
      <c r="P83" s="489">
        <f>N83</f>
        <v>201499.99999999997</v>
      </c>
      <c r="Q83" s="489">
        <f>O83</f>
        <v>225680</v>
      </c>
      <c r="R83" s="423"/>
      <c r="S83" s="488"/>
      <c r="T83" s="487"/>
      <c r="U83" s="487"/>
      <c r="V83" s="487"/>
      <c r="W83" s="487"/>
      <c r="X83" s="487"/>
      <c r="Y83" s="487"/>
      <c r="Z83" s="486"/>
      <c r="AA83" s="486"/>
      <c r="AB83" s="486"/>
      <c r="AC83" s="486"/>
      <c r="AD83" s="486"/>
      <c r="AE83" s="486"/>
      <c r="AF83" s="486">
        <f>Z83+AC83+W83+T83</f>
        <v>0</v>
      </c>
      <c r="AG83" s="486">
        <f>AA83+AD83+X83+U83</f>
        <v>0</v>
      </c>
      <c r="AH83" s="486"/>
      <c r="AI83" s="486"/>
      <c r="AJ83" s="486">
        <f>AI83*1.12</f>
        <v>0</v>
      </c>
      <c r="AK83" s="486"/>
      <c r="AL83" s="486"/>
      <c r="AM83" s="483">
        <f>AL83*1.12</f>
        <v>0</v>
      </c>
      <c r="AN83" s="486"/>
      <c r="AO83" s="483">
        <f>AL83-AI83</f>
        <v>0</v>
      </c>
      <c r="AP83" s="483">
        <f>AM83-AJ83</f>
        <v>0</v>
      </c>
      <c r="AQ83" s="483"/>
      <c r="AR83" s="485" t="str">
        <f>IF(AI83=0,"",AL83/AI83)</f>
        <v/>
      </c>
      <c r="AS83" s="484"/>
      <c r="AT83" s="484"/>
      <c r="AU83" s="484"/>
      <c r="AV83" s="483">
        <f>AV82</f>
        <v>0</v>
      </c>
      <c r="AW83" s="483">
        <f>AV83*1.12</f>
        <v>0</v>
      </c>
      <c r="AX83" s="483"/>
      <c r="AY83" s="483"/>
      <c r="AZ83" s="483"/>
      <c r="BA83" s="483"/>
      <c r="BB83" s="483"/>
      <c r="BC83" s="483"/>
      <c r="BD83" s="483"/>
      <c r="BE83" s="483"/>
      <c r="BF83" s="483"/>
      <c r="BG83" s="483"/>
      <c r="BH83" s="483"/>
      <c r="BI83" s="483"/>
      <c r="BJ83" s="483"/>
      <c r="BK83" s="483"/>
      <c r="BL83" s="483"/>
      <c r="BM83" s="482"/>
      <c r="BN83" s="481"/>
      <c r="BO83" s="481"/>
      <c r="BP83" s="481"/>
      <c r="BQ83" s="481"/>
      <c r="BR83" s="481"/>
      <c r="BS83" s="481"/>
      <c r="BT83" s="481"/>
      <c r="BW83" s="480"/>
      <c r="BX83" s="479"/>
    </row>
    <row r="84" spans="1:76" s="327" customFormat="1" ht="12.75" customHeight="1" collapsed="1" x14ac:dyDescent="0.25">
      <c r="A84" s="442"/>
      <c r="B84" s="237" t="s">
        <v>142</v>
      </c>
      <c r="C84" s="70" t="s">
        <v>9</v>
      </c>
      <c r="D84" s="70" t="s">
        <v>8</v>
      </c>
      <c r="E84" s="64">
        <f>I84</f>
        <v>558</v>
      </c>
      <c r="F84" s="273">
        <f>J84</f>
        <v>612</v>
      </c>
      <c r="G84" s="441">
        <v>1818</v>
      </c>
      <c r="H84" s="437"/>
      <c r="I84" s="117">
        <v>558</v>
      </c>
      <c r="J84" s="273">
        <v>612</v>
      </c>
      <c r="K84" s="472" t="s">
        <v>141</v>
      </c>
      <c r="L84" s="237" t="s">
        <v>140</v>
      </c>
      <c r="M84" s="439" t="s">
        <v>13</v>
      </c>
      <c r="N84" s="471">
        <f>O84</f>
        <v>101484</v>
      </c>
      <c r="O84" s="332">
        <v>101484</v>
      </c>
      <c r="P84" s="471">
        <f>N84</f>
        <v>101484</v>
      </c>
      <c r="Q84" s="471">
        <f>O84</f>
        <v>101484</v>
      </c>
      <c r="R84" s="438" t="s">
        <v>32</v>
      </c>
      <c r="S84" s="437">
        <v>3</v>
      </c>
      <c r="T84" s="312"/>
      <c r="U84" s="312"/>
      <c r="V84" s="312"/>
      <c r="W84" s="312"/>
      <c r="X84" s="312"/>
      <c r="Y84" s="312"/>
      <c r="Z84" s="117"/>
      <c r="AA84" s="117"/>
      <c r="AB84" s="117"/>
      <c r="AC84" s="117"/>
      <c r="AD84" s="117"/>
      <c r="AE84" s="117"/>
      <c r="AF84" s="117">
        <f>Z84+AC84+W84+T84</f>
        <v>0</v>
      </c>
      <c r="AG84" s="117">
        <f>AA84+AD84+X84+U84</f>
        <v>0</v>
      </c>
      <c r="AH84" s="117"/>
      <c r="AI84" s="117">
        <v>558</v>
      </c>
      <c r="AJ84" s="273">
        <v>612</v>
      </c>
      <c r="AK84" s="117"/>
      <c r="AL84" s="410">
        <f>ROUND(101.484,0)</f>
        <v>101</v>
      </c>
      <c r="AM84" s="429">
        <f>AL84</f>
        <v>101</v>
      </c>
      <c r="AN84" s="117"/>
      <c r="AO84" s="429">
        <f>AL84-101</f>
        <v>0</v>
      </c>
      <c r="AP84" s="429">
        <f>AM84-101</f>
        <v>0</v>
      </c>
      <c r="AQ84" s="64"/>
      <c r="AR84" s="476">
        <f>AL84/101</f>
        <v>1</v>
      </c>
      <c r="AS84" s="115"/>
      <c r="AT84" s="115"/>
      <c r="AU84" s="115"/>
      <c r="AV84" s="64">
        <f>AL84</f>
        <v>101</v>
      </c>
      <c r="AW84" s="429">
        <f>AV84</f>
        <v>101</v>
      </c>
      <c r="AX84" s="64"/>
      <c r="AY84" s="64"/>
      <c r="AZ84" s="64"/>
      <c r="BA84" s="64"/>
      <c r="BB84" s="64"/>
      <c r="BC84" s="64"/>
      <c r="BD84" s="64"/>
      <c r="BE84" s="64"/>
      <c r="BF84" s="129"/>
      <c r="BG84" s="64"/>
      <c r="BH84" s="64"/>
      <c r="BI84" s="64"/>
      <c r="BJ84" s="64"/>
      <c r="BK84" s="64"/>
      <c r="BL84" s="64"/>
      <c r="BM84" s="477" t="s">
        <v>139</v>
      </c>
      <c r="BN84" s="138"/>
      <c r="BO84" s="138"/>
      <c r="BP84" s="138"/>
      <c r="BQ84" s="138"/>
      <c r="BR84" s="138"/>
      <c r="BS84" s="138"/>
      <c r="BT84" s="138"/>
      <c r="BW84" s="329"/>
      <c r="BX84" s="328"/>
    </row>
    <row r="85" spans="1:76" s="327" customFormat="1" x14ac:dyDescent="0.25">
      <c r="A85" s="436"/>
      <c r="B85" s="235"/>
      <c r="C85" s="70" t="s">
        <v>6</v>
      </c>
      <c r="D85" s="70" t="s">
        <v>26</v>
      </c>
      <c r="E85" s="64">
        <f>I85</f>
        <v>558</v>
      </c>
      <c r="F85" s="273">
        <f>J85</f>
        <v>612</v>
      </c>
      <c r="G85" s="435"/>
      <c r="H85" s="431"/>
      <c r="I85" s="117">
        <v>558</v>
      </c>
      <c r="J85" s="273">
        <v>612</v>
      </c>
      <c r="K85" s="470"/>
      <c r="L85" s="235"/>
      <c r="M85" s="433"/>
      <c r="N85" s="332">
        <f>N84</f>
        <v>101484</v>
      </c>
      <c r="O85" s="332">
        <f>O84</f>
        <v>101484</v>
      </c>
      <c r="P85" s="332">
        <f>N85</f>
        <v>101484</v>
      </c>
      <c r="Q85" s="332">
        <f>O85</f>
        <v>101484</v>
      </c>
      <c r="R85" s="432"/>
      <c r="S85" s="431"/>
      <c r="T85" s="312"/>
      <c r="U85" s="312"/>
      <c r="V85" s="312"/>
      <c r="W85" s="312"/>
      <c r="X85" s="312"/>
      <c r="Y85" s="312"/>
      <c r="Z85" s="117"/>
      <c r="AA85" s="117"/>
      <c r="AB85" s="117"/>
      <c r="AC85" s="117"/>
      <c r="AD85" s="117"/>
      <c r="AE85" s="117"/>
      <c r="AF85" s="117">
        <f>Z85+AC85+W85+T85</f>
        <v>0</v>
      </c>
      <c r="AG85" s="117">
        <f>AA85+AD85+X85+U85</f>
        <v>0</v>
      </c>
      <c r="AH85" s="117"/>
      <c r="AI85" s="117">
        <v>558</v>
      </c>
      <c r="AJ85" s="273">
        <v>612</v>
      </c>
      <c r="AK85" s="117"/>
      <c r="AL85" s="273">
        <v>101.48399999999999</v>
      </c>
      <c r="AM85" s="429">
        <f>AL85</f>
        <v>101.48399999999999</v>
      </c>
      <c r="AN85" s="117"/>
      <c r="AO85" s="429">
        <f>AL85-101</f>
        <v>0.48399999999999466</v>
      </c>
      <c r="AP85" s="429">
        <f>AM85-101</f>
        <v>0.48399999999999466</v>
      </c>
      <c r="AQ85" s="64"/>
      <c r="AR85" s="476">
        <f>AL85/101</f>
        <v>1.0047920792079208</v>
      </c>
      <c r="AS85" s="115"/>
      <c r="AT85" s="115">
        <f>AL85</f>
        <v>101.48399999999999</v>
      </c>
      <c r="AU85" s="115"/>
      <c r="AV85" s="64">
        <f>AV84</f>
        <v>101</v>
      </c>
      <c r="AW85" s="429">
        <f>AV85</f>
        <v>101</v>
      </c>
      <c r="AX85" s="64"/>
      <c r="AY85" s="64"/>
      <c r="AZ85" s="64"/>
      <c r="BA85" s="64"/>
      <c r="BB85" s="64"/>
      <c r="BC85" s="64"/>
      <c r="BD85" s="64"/>
      <c r="BE85" s="64"/>
      <c r="BF85" s="129"/>
      <c r="BG85" s="64"/>
      <c r="BH85" s="64"/>
      <c r="BI85" s="64"/>
      <c r="BJ85" s="64"/>
      <c r="BK85" s="64"/>
      <c r="BL85" s="64"/>
      <c r="BM85" s="475"/>
      <c r="BN85" s="138"/>
      <c r="BO85" s="138"/>
      <c r="BP85" s="138"/>
      <c r="BQ85" s="138"/>
      <c r="BR85" s="138"/>
      <c r="BS85" s="138"/>
      <c r="BT85" s="138"/>
      <c r="BW85" s="329"/>
      <c r="BX85" s="328"/>
    </row>
    <row r="86" spans="1:76" s="320" customFormat="1" x14ac:dyDescent="0.25">
      <c r="A86" s="436"/>
      <c r="B86" s="235"/>
      <c r="C86" s="53" t="s">
        <v>6</v>
      </c>
      <c r="D86" s="53" t="s">
        <v>5</v>
      </c>
      <c r="E86" s="44">
        <f>I86</f>
        <v>558</v>
      </c>
      <c r="F86" s="467">
        <f>J86</f>
        <v>612</v>
      </c>
      <c r="G86" s="426"/>
      <c r="H86" s="422"/>
      <c r="I86" s="103">
        <f>I85</f>
        <v>558</v>
      </c>
      <c r="J86" s="467">
        <v>612</v>
      </c>
      <c r="K86" s="468"/>
      <c r="L86" s="233"/>
      <c r="M86" s="424"/>
      <c r="N86" s="325">
        <f>N85</f>
        <v>101484</v>
      </c>
      <c r="O86" s="325">
        <f>O85</f>
        <v>101484</v>
      </c>
      <c r="P86" s="325">
        <f>N86</f>
        <v>101484</v>
      </c>
      <c r="Q86" s="325">
        <f>O86</f>
        <v>101484</v>
      </c>
      <c r="R86" s="423"/>
      <c r="S86" s="422"/>
      <c r="T86" s="312"/>
      <c r="U86" s="312"/>
      <c r="V86" s="312"/>
      <c r="W86" s="312"/>
      <c r="X86" s="312"/>
      <c r="Y86" s="312"/>
      <c r="Z86" s="103"/>
      <c r="AA86" s="103"/>
      <c r="AB86" s="103"/>
      <c r="AC86" s="103"/>
      <c r="AD86" s="103"/>
      <c r="AE86" s="103"/>
      <c r="AF86" s="103">
        <f>Z86+AC86+W86+T86</f>
        <v>0</v>
      </c>
      <c r="AG86" s="103">
        <f>AA86+AD86+X86+U86</f>
        <v>0</v>
      </c>
      <c r="AH86" s="103"/>
      <c r="AI86" s="103">
        <f>AI85</f>
        <v>558</v>
      </c>
      <c r="AJ86" s="467">
        <f>AJ85</f>
        <v>612</v>
      </c>
      <c r="AK86" s="103"/>
      <c r="AL86" s="467">
        <f>AL85</f>
        <v>101.48399999999999</v>
      </c>
      <c r="AM86" s="466">
        <f>AL86</f>
        <v>101.48399999999999</v>
      </c>
      <c r="AN86" s="103"/>
      <c r="AO86" s="466">
        <f>AL86-101</f>
        <v>0.48399999999999466</v>
      </c>
      <c r="AP86" s="466">
        <f>AM86-101</f>
        <v>0.48399999999999466</v>
      </c>
      <c r="AQ86" s="44"/>
      <c r="AR86" s="474">
        <f>AL86/101</f>
        <v>1.0047920792079208</v>
      </c>
      <c r="AS86" s="101"/>
      <c r="AT86" s="101">
        <f>AT85</f>
        <v>101.48399999999999</v>
      </c>
      <c r="AU86" s="101"/>
      <c r="AV86" s="44">
        <f>AV85</f>
        <v>101</v>
      </c>
      <c r="AW86" s="466">
        <f>AV86</f>
        <v>101</v>
      </c>
      <c r="AX86" s="44"/>
      <c r="AY86" s="44"/>
      <c r="AZ86" s="44"/>
      <c r="BA86" s="44"/>
      <c r="BB86" s="44"/>
      <c r="BC86" s="44"/>
      <c r="BD86" s="44"/>
      <c r="BE86" s="44"/>
      <c r="BF86" s="137"/>
      <c r="BG86" s="44"/>
      <c r="BH86" s="44"/>
      <c r="BI86" s="44"/>
      <c r="BJ86" s="44"/>
      <c r="BK86" s="44"/>
      <c r="BL86" s="44"/>
      <c r="BM86" s="473"/>
      <c r="BN86" s="131"/>
      <c r="BO86" s="131"/>
      <c r="BP86" s="131"/>
      <c r="BQ86" s="131"/>
      <c r="BR86" s="131"/>
      <c r="BS86" s="131"/>
      <c r="BT86" s="131"/>
      <c r="BW86" s="322"/>
      <c r="BX86" s="321"/>
    </row>
    <row r="87" spans="1:76" s="320" customFormat="1" ht="12.75" customHeight="1" x14ac:dyDescent="0.25">
      <c r="A87" s="436"/>
      <c r="B87" s="235"/>
      <c r="C87" s="70" t="s">
        <v>9</v>
      </c>
      <c r="D87" s="70" t="s">
        <v>8</v>
      </c>
      <c r="E87" s="44"/>
      <c r="F87" s="103"/>
      <c r="G87" s="461"/>
      <c r="H87" s="44"/>
      <c r="I87" s="103"/>
      <c r="J87" s="103"/>
      <c r="K87" s="472" t="s">
        <v>138</v>
      </c>
      <c r="L87" s="237" t="s">
        <v>137</v>
      </c>
      <c r="M87" s="439" t="s">
        <v>13</v>
      </c>
      <c r="N87" s="332">
        <f>O87/1.12</f>
        <v>28562.499999999996</v>
      </c>
      <c r="O87" s="332">
        <v>31990</v>
      </c>
      <c r="P87" s="332">
        <f>N87</f>
        <v>28562.499999999996</v>
      </c>
      <c r="Q87" s="332">
        <f>O87</f>
        <v>31990</v>
      </c>
      <c r="R87" s="438" t="s">
        <v>32</v>
      </c>
      <c r="S87" s="437">
        <v>1</v>
      </c>
      <c r="T87" s="312"/>
      <c r="U87" s="312"/>
      <c r="V87" s="312"/>
      <c r="W87" s="312"/>
      <c r="X87" s="312"/>
      <c r="Y87" s="312"/>
      <c r="Z87" s="117"/>
      <c r="AA87" s="117"/>
      <c r="AB87" s="117"/>
      <c r="AC87" s="117"/>
      <c r="AD87" s="117"/>
      <c r="AE87" s="117"/>
      <c r="AF87" s="117">
        <f>Z87+AC87+W87+T87</f>
        <v>0</v>
      </c>
      <c r="AG87" s="117">
        <f>AA87+AD87+X87+U87</f>
        <v>0</v>
      </c>
      <c r="AH87" s="117"/>
      <c r="AI87" s="117"/>
      <c r="AJ87" s="117">
        <f>AI87*1.12</f>
        <v>0</v>
      </c>
      <c r="AK87" s="117"/>
      <c r="AL87" s="410">
        <f>ROUND(31.99/1.12,0)</f>
        <v>29</v>
      </c>
      <c r="AM87" s="64">
        <f>AL87*1.12</f>
        <v>32.480000000000004</v>
      </c>
      <c r="AN87" s="117"/>
      <c r="AO87" s="429">
        <f>AL87-29</f>
        <v>0</v>
      </c>
      <c r="AP87" s="429">
        <f>AM87-29*1.12</f>
        <v>0</v>
      </c>
      <c r="AQ87" s="64"/>
      <c r="AR87" s="476">
        <f>AL87/34</f>
        <v>0.8529411764705882</v>
      </c>
      <c r="AS87" s="115"/>
      <c r="AT87" s="115"/>
      <c r="AU87" s="115"/>
      <c r="AV87" s="64">
        <f>AL87</f>
        <v>29</v>
      </c>
      <c r="AW87" s="64">
        <f>AV87*1.12</f>
        <v>32.480000000000004</v>
      </c>
      <c r="AX87" s="64"/>
      <c r="AY87" s="64"/>
      <c r="AZ87" s="64"/>
      <c r="BA87" s="64"/>
      <c r="BB87" s="64"/>
      <c r="BC87" s="64"/>
      <c r="BD87" s="64"/>
      <c r="BE87" s="64"/>
      <c r="BF87" s="129"/>
      <c r="BG87" s="64"/>
      <c r="BH87" s="64"/>
      <c r="BI87" s="64"/>
      <c r="BJ87" s="64"/>
      <c r="BK87" s="64"/>
      <c r="BL87" s="64"/>
      <c r="BM87" s="477" t="s">
        <v>136</v>
      </c>
      <c r="BN87" s="131"/>
      <c r="BO87" s="131"/>
      <c r="BP87" s="131"/>
      <c r="BQ87" s="131"/>
      <c r="BR87" s="131"/>
      <c r="BS87" s="131"/>
      <c r="BT87" s="131"/>
      <c r="BW87" s="322"/>
      <c r="BX87" s="321"/>
    </row>
    <row r="88" spans="1:76" s="320" customFormat="1" x14ac:dyDescent="0.25">
      <c r="A88" s="436"/>
      <c r="B88" s="235"/>
      <c r="C88" s="70" t="s">
        <v>6</v>
      </c>
      <c r="D88" s="70" t="s">
        <v>26</v>
      </c>
      <c r="E88" s="44"/>
      <c r="F88" s="103"/>
      <c r="G88" s="461"/>
      <c r="H88" s="44"/>
      <c r="I88" s="103"/>
      <c r="J88" s="103"/>
      <c r="K88" s="470"/>
      <c r="L88" s="235"/>
      <c r="M88" s="433"/>
      <c r="N88" s="332">
        <f>N87</f>
        <v>28562.499999999996</v>
      </c>
      <c r="O88" s="332">
        <f>O87</f>
        <v>31990</v>
      </c>
      <c r="P88" s="332">
        <f>N88</f>
        <v>28562.499999999996</v>
      </c>
      <c r="Q88" s="332">
        <f>O88</f>
        <v>31990</v>
      </c>
      <c r="R88" s="432"/>
      <c r="S88" s="431"/>
      <c r="T88" s="312"/>
      <c r="U88" s="312"/>
      <c r="V88" s="312"/>
      <c r="W88" s="312"/>
      <c r="X88" s="312"/>
      <c r="Y88" s="312"/>
      <c r="Z88" s="117"/>
      <c r="AA88" s="117"/>
      <c r="AB88" s="117"/>
      <c r="AC88" s="117"/>
      <c r="AD88" s="117"/>
      <c r="AE88" s="117"/>
      <c r="AF88" s="117">
        <f>Z88+AC88+W88+T88</f>
        <v>0</v>
      </c>
      <c r="AG88" s="117">
        <f>AA88+AD88+X88+U88</f>
        <v>0</v>
      </c>
      <c r="AH88" s="117"/>
      <c r="AI88" s="117"/>
      <c r="AJ88" s="117">
        <f>AI88*1.12</f>
        <v>0</v>
      </c>
      <c r="AK88" s="117"/>
      <c r="AL88" s="117">
        <f>31.99/1.12</f>
        <v>28.562499999999996</v>
      </c>
      <c r="AM88" s="64">
        <f>AL88*1.12</f>
        <v>31.99</v>
      </c>
      <c r="AN88" s="117"/>
      <c r="AO88" s="429">
        <f>AL88-29</f>
        <v>-0.43750000000000355</v>
      </c>
      <c r="AP88" s="429">
        <f>AM88-29*1.12</f>
        <v>-0.49000000000000554</v>
      </c>
      <c r="AQ88" s="64"/>
      <c r="AR88" s="476">
        <f>AL88/33.898</f>
        <v>0.8426013334120005</v>
      </c>
      <c r="AS88" s="115"/>
      <c r="AT88" s="115">
        <f>AL88</f>
        <v>28.562499999999996</v>
      </c>
      <c r="AU88" s="115"/>
      <c r="AV88" s="64">
        <f>AV87</f>
        <v>29</v>
      </c>
      <c r="AW88" s="64">
        <f>AV88*1.12</f>
        <v>32.480000000000004</v>
      </c>
      <c r="AX88" s="64"/>
      <c r="AY88" s="64"/>
      <c r="AZ88" s="64"/>
      <c r="BA88" s="64"/>
      <c r="BB88" s="64"/>
      <c r="BC88" s="64"/>
      <c r="BD88" s="64"/>
      <c r="BE88" s="64"/>
      <c r="BF88" s="129"/>
      <c r="BG88" s="64"/>
      <c r="BH88" s="64"/>
      <c r="BI88" s="64"/>
      <c r="BJ88" s="64"/>
      <c r="BK88" s="64"/>
      <c r="BL88" s="64"/>
      <c r="BM88" s="475"/>
      <c r="BN88" s="131"/>
      <c r="BO88" s="131"/>
      <c r="BP88" s="131"/>
      <c r="BQ88" s="131"/>
      <c r="BR88" s="131"/>
      <c r="BS88" s="131"/>
      <c r="BT88" s="131"/>
      <c r="BW88" s="322"/>
      <c r="BX88" s="321"/>
    </row>
    <row r="89" spans="1:76" s="320" customFormat="1" x14ac:dyDescent="0.25">
      <c r="A89" s="436"/>
      <c r="B89" s="235"/>
      <c r="C89" s="53" t="s">
        <v>6</v>
      </c>
      <c r="D89" s="53" t="s">
        <v>5</v>
      </c>
      <c r="E89" s="44"/>
      <c r="F89" s="103"/>
      <c r="G89" s="461"/>
      <c r="H89" s="44"/>
      <c r="I89" s="103"/>
      <c r="J89" s="103"/>
      <c r="K89" s="468"/>
      <c r="L89" s="233"/>
      <c r="M89" s="424"/>
      <c r="N89" s="325">
        <f>N88</f>
        <v>28562.499999999996</v>
      </c>
      <c r="O89" s="325">
        <f>O88</f>
        <v>31990</v>
      </c>
      <c r="P89" s="325">
        <f>N89</f>
        <v>28562.499999999996</v>
      </c>
      <c r="Q89" s="325">
        <f>O89</f>
        <v>31990</v>
      </c>
      <c r="R89" s="423"/>
      <c r="S89" s="422"/>
      <c r="T89" s="312"/>
      <c r="U89" s="312"/>
      <c r="V89" s="312"/>
      <c r="W89" s="312"/>
      <c r="X89" s="312"/>
      <c r="Y89" s="312"/>
      <c r="Z89" s="103"/>
      <c r="AA89" s="103"/>
      <c r="AB89" s="103"/>
      <c r="AC89" s="103"/>
      <c r="AD89" s="103"/>
      <c r="AE89" s="103"/>
      <c r="AF89" s="103">
        <f>Z89+AC89+W89+T89</f>
        <v>0</v>
      </c>
      <c r="AG89" s="103">
        <f>AA89+AD89+X89+U89</f>
        <v>0</v>
      </c>
      <c r="AH89" s="103"/>
      <c r="AI89" s="103"/>
      <c r="AJ89" s="103">
        <f>AI89*1.12</f>
        <v>0</v>
      </c>
      <c r="AK89" s="103"/>
      <c r="AL89" s="103">
        <f>AL88</f>
        <v>28.562499999999996</v>
      </c>
      <c r="AM89" s="44">
        <f>AL89*1.12</f>
        <v>31.99</v>
      </c>
      <c r="AN89" s="103"/>
      <c r="AO89" s="466">
        <f>AL89-29</f>
        <v>-0.43750000000000355</v>
      </c>
      <c r="AP89" s="466">
        <f>AM89-29*1.12</f>
        <v>-0.49000000000000554</v>
      </c>
      <c r="AQ89" s="44"/>
      <c r="AR89" s="474">
        <f>AL89/34</f>
        <v>0.84007352941176461</v>
      </c>
      <c r="AS89" s="101"/>
      <c r="AT89" s="101">
        <f>AL89</f>
        <v>28.562499999999996</v>
      </c>
      <c r="AU89" s="101"/>
      <c r="AV89" s="44">
        <f>AV88</f>
        <v>29</v>
      </c>
      <c r="AW89" s="44">
        <f>AV89*1.12</f>
        <v>32.480000000000004</v>
      </c>
      <c r="AX89" s="44"/>
      <c r="AY89" s="44"/>
      <c r="AZ89" s="44"/>
      <c r="BA89" s="44"/>
      <c r="BB89" s="44"/>
      <c r="BC89" s="44"/>
      <c r="BD89" s="44"/>
      <c r="BE89" s="44"/>
      <c r="BF89" s="137"/>
      <c r="BG89" s="44"/>
      <c r="BH89" s="44"/>
      <c r="BI89" s="44"/>
      <c r="BJ89" s="44"/>
      <c r="BK89" s="44"/>
      <c r="BL89" s="44"/>
      <c r="BM89" s="473"/>
      <c r="BN89" s="131"/>
      <c r="BO89" s="131"/>
      <c r="BP89" s="131"/>
      <c r="BQ89" s="131"/>
      <c r="BR89" s="131"/>
      <c r="BS89" s="131"/>
      <c r="BT89" s="131"/>
      <c r="BW89" s="322"/>
      <c r="BX89" s="321"/>
    </row>
    <row r="90" spans="1:76" s="320" customFormat="1" x14ac:dyDescent="0.25">
      <c r="A90" s="436"/>
      <c r="B90" s="235"/>
      <c r="C90" s="70" t="s">
        <v>9</v>
      </c>
      <c r="D90" s="70" t="s">
        <v>8</v>
      </c>
      <c r="E90" s="44"/>
      <c r="F90" s="103"/>
      <c r="G90" s="461"/>
      <c r="H90" s="44"/>
      <c r="I90" s="103"/>
      <c r="J90" s="103"/>
      <c r="K90" s="472" t="s">
        <v>135</v>
      </c>
      <c r="L90" s="237" t="s">
        <v>134</v>
      </c>
      <c r="M90" s="439" t="s">
        <v>13</v>
      </c>
      <c r="N90" s="332">
        <f>O90/1.12</f>
        <v>33828</v>
      </c>
      <c r="O90" s="332">
        <v>37887.360000000001</v>
      </c>
      <c r="P90" s="332">
        <f>N90</f>
        <v>33828</v>
      </c>
      <c r="Q90" s="332">
        <f>O90</f>
        <v>37887.360000000001</v>
      </c>
      <c r="R90" s="438" t="s">
        <v>133</v>
      </c>
      <c r="S90" s="437">
        <v>1</v>
      </c>
      <c r="T90" s="312"/>
      <c r="U90" s="312"/>
      <c r="V90" s="312"/>
      <c r="W90" s="312"/>
      <c r="X90" s="312"/>
      <c r="Y90" s="312"/>
      <c r="Z90" s="117"/>
      <c r="AA90" s="117"/>
      <c r="AB90" s="117"/>
      <c r="AC90" s="117"/>
      <c r="AD90" s="117"/>
      <c r="AE90" s="117"/>
      <c r="AF90" s="117">
        <f>Z90+AC90+W90+T90</f>
        <v>0</v>
      </c>
      <c r="AG90" s="117">
        <f>AA90+AD90+X90+U90</f>
        <v>0</v>
      </c>
      <c r="AH90" s="117"/>
      <c r="AI90" s="117"/>
      <c r="AJ90" s="117">
        <f>AI90*1.12</f>
        <v>0</v>
      </c>
      <c r="AK90" s="117"/>
      <c r="AL90" s="410">
        <f>ROUND(37.88736/1.12,0)</f>
        <v>34</v>
      </c>
      <c r="AM90" s="64">
        <f>AL90*1.12</f>
        <v>38.080000000000005</v>
      </c>
      <c r="AN90" s="117"/>
      <c r="AO90" s="429">
        <f>AL90-34</f>
        <v>0</v>
      </c>
      <c r="AP90" s="429">
        <f>AM90-34*1.12</f>
        <v>0</v>
      </c>
      <c r="AQ90" s="64"/>
      <c r="AR90" s="476">
        <f>AL90/34</f>
        <v>1</v>
      </c>
      <c r="AS90" s="115"/>
      <c r="AT90" s="115"/>
      <c r="AU90" s="115"/>
      <c r="AV90" s="64">
        <f>AL90</f>
        <v>34</v>
      </c>
      <c r="AW90" s="64">
        <f>AV90*1.12</f>
        <v>38.080000000000005</v>
      </c>
      <c r="AX90" s="64"/>
      <c r="AY90" s="64"/>
      <c r="AZ90" s="64"/>
      <c r="BA90" s="64"/>
      <c r="BB90" s="64"/>
      <c r="BC90" s="64"/>
      <c r="BD90" s="64"/>
      <c r="BE90" s="64"/>
      <c r="BF90" s="129"/>
      <c r="BG90" s="64"/>
      <c r="BH90" s="64"/>
      <c r="BI90" s="64"/>
      <c r="BJ90" s="64"/>
      <c r="BK90" s="64"/>
      <c r="BL90" s="64"/>
      <c r="BM90" s="477" t="s">
        <v>132</v>
      </c>
      <c r="BN90" s="131"/>
      <c r="BO90" s="131"/>
      <c r="BP90" s="131"/>
      <c r="BQ90" s="131"/>
      <c r="BR90" s="131"/>
      <c r="BS90" s="131"/>
      <c r="BT90" s="131"/>
      <c r="BW90" s="322"/>
      <c r="BX90" s="321"/>
    </row>
    <row r="91" spans="1:76" s="320" customFormat="1" x14ac:dyDescent="0.25">
      <c r="A91" s="436"/>
      <c r="B91" s="235"/>
      <c r="C91" s="70" t="s">
        <v>6</v>
      </c>
      <c r="D91" s="70" t="s">
        <v>26</v>
      </c>
      <c r="E91" s="44"/>
      <c r="F91" s="103"/>
      <c r="G91" s="461"/>
      <c r="H91" s="44"/>
      <c r="I91" s="103"/>
      <c r="J91" s="103"/>
      <c r="K91" s="470"/>
      <c r="L91" s="235"/>
      <c r="M91" s="433"/>
      <c r="N91" s="332">
        <f>N90</f>
        <v>33828</v>
      </c>
      <c r="O91" s="332">
        <f>O90</f>
        <v>37887.360000000001</v>
      </c>
      <c r="P91" s="332">
        <f>N91</f>
        <v>33828</v>
      </c>
      <c r="Q91" s="332">
        <f>O91</f>
        <v>37887.360000000001</v>
      </c>
      <c r="R91" s="432"/>
      <c r="S91" s="431"/>
      <c r="T91" s="312"/>
      <c r="U91" s="312"/>
      <c r="V91" s="312"/>
      <c r="W91" s="312"/>
      <c r="X91" s="312"/>
      <c r="Y91" s="312"/>
      <c r="Z91" s="117"/>
      <c r="AA91" s="117"/>
      <c r="AB91" s="117"/>
      <c r="AC91" s="117"/>
      <c r="AD91" s="117"/>
      <c r="AE91" s="117"/>
      <c r="AF91" s="117">
        <f>Z91+AC91+W91+T91</f>
        <v>0</v>
      </c>
      <c r="AG91" s="117">
        <f>AA91+AD91+X91+U91</f>
        <v>0</v>
      </c>
      <c r="AH91" s="117"/>
      <c r="AI91" s="117"/>
      <c r="AJ91" s="117">
        <f>AI91*1.12</f>
        <v>0</v>
      </c>
      <c r="AK91" s="117"/>
      <c r="AL91" s="117">
        <f>37.88736/1.12</f>
        <v>33.827999999999996</v>
      </c>
      <c r="AM91" s="64">
        <f>AL91*1.12</f>
        <v>37.887360000000001</v>
      </c>
      <c r="AN91" s="117"/>
      <c r="AO91" s="429">
        <f>AL91-34</f>
        <v>-0.17200000000000415</v>
      </c>
      <c r="AP91" s="429">
        <f>AM91-34*1.12</f>
        <v>-0.19264000000000436</v>
      </c>
      <c r="AQ91" s="64"/>
      <c r="AR91" s="476">
        <f>AL91/33.828</f>
        <v>0.99999999999999978</v>
      </c>
      <c r="AS91" s="115"/>
      <c r="AT91" s="115">
        <f>AL91</f>
        <v>33.827999999999996</v>
      </c>
      <c r="AU91" s="115"/>
      <c r="AV91" s="64">
        <f>AV90</f>
        <v>34</v>
      </c>
      <c r="AW91" s="64">
        <f>AV91*1.12</f>
        <v>38.080000000000005</v>
      </c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475"/>
      <c r="BN91" s="131"/>
      <c r="BO91" s="131"/>
      <c r="BP91" s="131"/>
      <c r="BQ91" s="131"/>
      <c r="BR91" s="131"/>
      <c r="BS91" s="131"/>
      <c r="BT91" s="131"/>
      <c r="BW91" s="322"/>
      <c r="BX91" s="321"/>
    </row>
    <row r="92" spans="1:76" s="320" customFormat="1" x14ac:dyDescent="0.25">
      <c r="A92" s="436"/>
      <c r="B92" s="235"/>
      <c r="C92" s="53" t="s">
        <v>6</v>
      </c>
      <c r="D92" s="53" t="s">
        <v>5</v>
      </c>
      <c r="E92" s="44"/>
      <c r="F92" s="103"/>
      <c r="G92" s="461"/>
      <c r="H92" s="44"/>
      <c r="I92" s="103"/>
      <c r="J92" s="103"/>
      <c r="K92" s="468"/>
      <c r="L92" s="233"/>
      <c r="M92" s="424"/>
      <c r="N92" s="325">
        <f>N91</f>
        <v>33828</v>
      </c>
      <c r="O92" s="325">
        <f>O91</f>
        <v>37887.360000000001</v>
      </c>
      <c r="P92" s="325">
        <f>N92</f>
        <v>33828</v>
      </c>
      <c r="Q92" s="325">
        <f>O92</f>
        <v>37887.360000000001</v>
      </c>
      <c r="R92" s="423"/>
      <c r="S92" s="422"/>
      <c r="T92" s="312"/>
      <c r="U92" s="312"/>
      <c r="V92" s="312"/>
      <c r="W92" s="312"/>
      <c r="X92" s="312"/>
      <c r="Y92" s="312"/>
      <c r="Z92" s="103"/>
      <c r="AA92" s="103"/>
      <c r="AB92" s="103"/>
      <c r="AC92" s="103"/>
      <c r="AD92" s="103"/>
      <c r="AE92" s="103"/>
      <c r="AF92" s="103">
        <f>Z92+AC92+W92+T92</f>
        <v>0</v>
      </c>
      <c r="AG92" s="103">
        <f>AA92+AD92+X92+U92</f>
        <v>0</v>
      </c>
      <c r="AH92" s="103"/>
      <c r="AI92" s="103"/>
      <c r="AJ92" s="103">
        <f>AI92*1.12</f>
        <v>0</v>
      </c>
      <c r="AK92" s="103"/>
      <c r="AL92" s="103">
        <f>AL91</f>
        <v>33.827999999999996</v>
      </c>
      <c r="AM92" s="44">
        <f>AL92*1.12</f>
        <v>37.887360000000001</v>
      </c>
      <c r="AN92" s="103"/>
      <c r="AO92" s="466">
        <f>AL92-34</f>
        <v>-0.17200000000000415</v>
      </c>
      <c r="AP92" s="466">
        <f>AM92-34*1.12</f>
        <v>-0.19264000000000436</v>
      </c>
      <c r="AQ92" s="44"/>
      <c r="AR92" s="474">
        <f>AL92/33.898</f>
        <v>0.9979349814148325</v>
      </c>
      <c r="AS92" s="101"/>
      <c r="AT92" s="101">
        <f>AT91</f>
        <v>33.827999999999996</v>
      </c>
      <c r="AU92" s="101"/>
      <c r="AV92" s="44">
        <f>AV91</f>
        <v>34</v>
      </c>
      <c r="AW92" s="44">
        <f>AV92*1.12</f>
        <v>38.080000000000005</v>
      </c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73"/>
      <c r="BN92" s="131"/>
      <c r="BO92" s="131"/>
      <c r="BP92" s="131"/>
      <c r="BQ92" s="131"/>
      <c r="BR92" s="131"/>
      <c r="BS92" s="131"/>
      <c r="BT92" s="131"/>
      <c r="BW92" s="322"/>
      <c r="BX92" s="321"/>
    </row>
    <row r="93" spans="1:76" s="320" customFormat="1" ht="12.75" customHeight="1" x14ac:dyDescent="0.25">
      <c r="A93" s="436"/>
      <c r="B93" s="235"/>
      <c r="C93" s="70" t="s">
        <v>9</v>
      </c>
      <c r="D93" s="70" t="s">
        <v>8</v>
      </c>
      <c r="E93" s="44"/>
      <c r="F93" s="103"/>
      <c r="G93" s="461"/>
      <c r="H93" s="44"/>
      <c r="I93" s="103"/>
      <c r="J93" s="103"/>
      <c r="K93" s="472" t="s">
        <v>130</v>
      </c>
      <c r="L93" s="237" t="s">
        <v>131</v>
      </c>
      <c r="M93" s="439" t="s">
        <v>13</v>
      </c>
      <c r="N93" s="332">
        <f>O93/1.12</f>
        <v>33828</v>
      </c>
      <c r="O93" s="332">
        <f>33828*1.12</f>
        <v>37887.360000000001</v>
      </c>
      <c r="P93" s="332">
        <f>N93</f>
        <v>33828</v>
      </c>
      <c r="Q93" s="332">
        <f>O93</f>
        <v>37887.360000000001</v>
      </c>
      <c r="R93" s="438" t="s">
        <v>32</v>
      </c>
      <c r="S93" s="437">
        <f>1</f>
        <v>1</v>
      </c>
      <c r="T93" s="312"/>
      <c r="U93" s="312"/>
      <c r="V93" s="312"/>
      <c r="W93" s="312"/>
      <c r="X93" s="312"/>
      <c r="Y93" s="312"/>
      <c r="Z93" s="117"/>
      <c r="AA93" s="117"/>
      <c r="AB93" s="117"/>
      <c r="AC93" s="117"/>
      <c r="AD93" s="117"/>
      <c r="AE93" s="117"/>
      <c r="AF93" s="117">
        <f>Z93+AC93+W93+T93</f>
        <v>0</v>
      </c>
      <c r="AG93" s="117">
        <f>AA93+AD93+X93+U93</f>
        <v>0</v>
      </c>
      <c r="AH93" s="117"/>
      <c r="AI93" s="117"/>
      <c r="AJ93" s="117">
        <f>AI93*1.12</f>
        <v>0</v>
      </c>
      <c r="AK93" s="117"/>
      <c r="AL93" s="410">
        <f>ROUND(P93/1000,0)</f>
        <v>34</v>
      </c>
      <c r="AM93" s="64">
        <f>AL93*1.12</f>
        <v>38.080000000000005</v>
      </c>
      <c r="AN93" s="117"/>
      <c r="AO93" s="429">
        <f>AL93-34</f>
        <v>0</v>
      </c>
      <c r="AP93" s="429">
        <f>AM93-34*1.12</f>
        <v>0</v>
      </c>
      <c r="AQ93" s="64"/>
      <c r="AR93" s="476">
        <f>AL93/34</f>
        <v>1</v>
      </c>
      <c r="AS93" s="115"/>
      <c r="AT93" s="115"/>
      <c r="AU93" s="115"/>
      <c r="AV93" s="64">
        <f>ROUND(P93/1000,0)</f>
        <v>34</v>
      </c>
      <c r="AW93" s="64">
        <f>AV93*1.12</f>
        <v>38.080000000000005</v>
      </c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>
        <f>AL93-34</f>
        <v>0</v>
      </c>
      <c r="BM93" s="477" t="s">
        <v>129</v>
      </c>
      <c r="BN93" s="131"/>
      <c r="BO93" s="131"/>
      <c r="BP93" s="131"/>
      <c r="BQ93" s="131"/>
      <c r="BR93" s="131"/>
      <c r="BS93" s="131"/>
      <c r="BT93" s="131"/>
      <c r="BW93" s="322"/>
      <c r="BX93" s="321"/>
    </row>
    <row r="94" spans="1:76" s="320" customFormat="1" x14ac:dyDescent="0.25">
      <c r="A94" s="436"/>
      <c r="B94" s="235"/>
      <c r="C94" s="70" t="s">
        <v>6</v>
      </c>
      <c r="D94" s="70" t="s">
        <v>26</v>
      </c>
      <c r="E94" s="44"/>
      <c r="F94" s="103"/>
      <c r="G94" s="461"/>
      <c r="H94" s="44"/>
      <c r="I94" s="103"/>
      <c r="J94" s="103"/>
      <c r="K94" s="470"/>
      <c r="L94" s="235"/>
      <c r="M94" s="433"/>
      <c r="N94" s="332">
        <f>N93</f>
        <v>33828</v>
      </c>
      <c r="O94" s="332">
        <f>O93</f>
        <v>37887.360000000001</v>
      </c>
      <c r="P94" s="332">
        <f>N94</f>
        <v>33828</v>
      </c>
      <c r="Q94" s="332">
        <f>O94</f>
        <v>37887.360000000001</v>
      </c>
      <c r="R94" s="432"/>
      <c r="S94" s="431"/>
      <c r="T94" s="312"/>
      <c r="U94" s="312"/>
      <c r="V94" s="312"/>
      <c r="W94" s="312"/>
      <c r="X94" s="312"/>
      <c r="Y94" s="312"/>
      <c r="Z94" s="117"/>
      <c r="AA94" s="117"/>
      <c r="AB94" s="117"/>
      <c r="AC94" s="117"/>
      <c r="AD94" s="117"/>
      <c r="AE94" s="117"/>
      <c r="AF94" s="117">
        <f>Z94+AC94+W94+T94</f>
        <v>0</v>
      </c>
      <c r="AG94" s="117">
        <f>AA94+AD94+X94+U94</f>
        <v>0</v>
      </c>
      <c r="AH94" s="117"/>
      <c r="AI94" s="117"/>
      <c r="AJ94" s="117">
        <f>AI94*1.12</f>
        <v>0</v>
      </c>
      <c r="AK94" s="117"/>
      <c r="AL94" s="117">
        <f>37.88736/1.12</f>
        <v>33.827999999999996</v>
      </c>
      <c r="AM94" s="64">
        <f>AL94*1.12</f>
        <v>37.887360000000001</v>
      </c>
      <c r="AN94" s="117"/>
      <c r="AO94" s="429">
        <f>AL94-34</f>
        <v>-0.17200000000000415</v>
      </c>
      <c r="AP94" s="429">
        <f>AM94-34*1.12</f>
        <v>-0.19264000000000436</v>
      </c>
      <c r="AQ94" s="64"/>
      <c r="AR94" s="476">
        <f>AL94/34</f>
        <v>0.99494117647058811</v>
      </c>
      <c r="AS94" s="115"/>
      <c r="AT94" s="115">
        <f>AL94</f>
        <v>33.827999999999996</v>
      </c>
      <c r="AU94" s="115"/>
      <c r="AV94" s="64">
        <f>AV93</f>
        <v>34</v>
      </c>
      <c r="AW94" s="64">
        <f>AV94*1.12</f>
        <v>38.080000000000005</v>
      </c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475"/>
      <c r="BN94" s="131"/>
      <c r="BO94" s="131"/>
      <c r="BP94" s="131"/>
      <c r="BQ94" s="131"/>
      <c r="BR94" s="131"/>
      <c r="BS94" s="131"/>
      <c r="BT94" s="131"/>
      <c r="BW94" s="322"/>
      <c r="BX94" s="321"/>
    </row>
    <row r="95" spans="1:76" s="320" customFormat="1" x14ac:dyDescent="0.25">
      <c r="A95" s="436"/>
      <c r="B95" s="235"/>
      <c r="C95" s="53" t="s">
        <v>6</v>
      </c>
      <c r="D95" s="53" t="s">
        <v>5</v>
      </c>
      <c r="E95" s="44"/>
      <c r="F95" s="103"/>
      <c r="G95" s="461"/>
      <c r="H95" s="44"/>
      <c r="I95" s="103"/>
      <c r="J95" s="103"/>
      <c r="K95" s="468"/>
      <c r="L95" s="235"/>
      <c r="M95" s="424"/>
      <c r="N95" s="325">
        <f>N94</f>
        <v>33828</v>
      </c>
      <c r="O95" s="325">
        <f>O94</f>
        <v>37887.360000000001</v>
      </c>
      <c r="P95" s="325">
        <f>N95</f>
        <v>33828</v>
      </c>
      <c r="Q95" s="325">
        <f>O95</f>
        <v>37887.360000000001</v>
      </c>
      <c r="R95" s="432"/>
      <c r="S95" s="422"/>
      <c r="T95" s="312"/>
      <c r="U95" s="312"/>
      <c r="V95" s="312"/>
      <c r="W95" s="312"/>
      <c r="X95" s="312"/>
      <c r="Y95" s="312"/>
      <c r="Z95" s="103"/>
      <c r="AA95" s="103"/>
      <c r="AB95" s="103"/>
      <c r="AC95" s="103"/>
      <c r="AD95" s="103"/>
      <c r="AE95" s="103"/>
      <c r="AF95" s="103">
        <f>Z95+AC95+W95+T95</f>
        <v>0</v>
      </c>
      <c r="AG95" s="103">
        <f>AA95+AD95+X95+U95</f>
        <v>0</v>
      </c>
      <c r="AH95" s="103"/>
      <c r="AI95" s="103"/>
      <c r="AJ95" s="103">
        <f>AI95*1.12</f>
        <v>0</v>
      </c>
      <c r="AK95" s="103"/>
      <c r="AL95" s="103">
        <f>AL94</f>
        <v>33.827999999999996</v>
      </c>
      <c r="AM95" s="44">
        <f>AL95*1.12</f>
        <v>37.887360000000001</v>
      </c>
      <c r="AN95" s="103"/>
      <c r="AO95" s="466">
        <f>AL95-34</f>
        <v>-0.17200000000000415</v>
      </c>
      <c r="AP95" s="466">
        <f>AM95-34*1.12</f>
        <v>-0.19264000000000436</v>
      </c>
      <c r="AQ95" s="44"/>
      <c r="AR95" s="474">
        <f>AL95/34</f>
        <v>0.99494117647058811</v>
      </c>
      <c r="AS95" s="101"/>
      <c r="AT95" s="101">
        <f>AT94</f>
        <v>33.827999999999996</v>
      </c>
      <c r="AU95" s="101"/>
      <c r="AV95" s="44">
        <f>AV94</f>
        <v>34</v>
      </c>
      <c r="AW95" s="44">
        <f>AV95*1.12</f>
        <v>38.080000000000005</v>
      </c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73"/>
      <c r="BN95" s="131"/>
      <c r="BO95" s="131"/>
      <c r="BP95" s="131"/>
      <c r="BQ95" s="131"/>
      <c r="BR95" s="131"/>
      <c r="BS95" s="131"/>
      <c r="BT95" s="131"/>
      <c r="BW95" s="322"/>
      <c r="BX95" s="321"/>
    </row>
    <row r="96" spans="1:76" s="320" customFormat="1" ht="12.75" customHeight="1" x14ac:dyDescent="0.25">
      <c r="A96" s="436"/>
      <c r="B96" s="235"/>
      <c r="C96" s="70" t="s">
        <v>9</v>
      </c>
      <c r="D96" s="70" t="s">
        <v>8</v>
      </c>
      <c r="E96" s="44"/>
      <c r="F96" s="103"/>
      <c r="G96" s="461"/>
      <c r="H96" s="44"/>
      <c r="I96" s="103"/>
      <c r="J96" s="103"/>
      <c r="K96" s="472" t="s">
        <v>130</v>
      </c>
      <c r="L96" s="235"/>
      <c r="M96" s="439" t="s">
        <v>13</v>
      </c>
      <c r="N96" s="332">
        <f>O96/1.12</f>
        <v>359892</v>
      </c>
      <c r="O96" s="332">
        <f>89973*S96*1.12</f>
        <v>403079.04000000004</v>
      </c>
      <c r="P96" s="332">
        <f>N96</f>
        <v>359892</v>
      </c>
      <c r="Q96" s="332">
        <f>O96</f>
        <v>403079.04000000004</v>
      </c>
      <c r="R96" s="432"/>
      <c r="S96" s="437">
        <f>4</f>
        <v>4</v>
      </c>
      <c r="T96" s="312"/>
      <c r="U96" s="312"/>
      <c r="V96" s="312"/>
      <c r="W96" s="312"/>
      <c r="X96" s="312"/>
      <c r="Y96" s="312"/>
      <c r="Z96" s="117"/>
      <c r="AA96" s="117"/>
      <c r="AB96" s="117"/>
      <c r="AC96" s="117"/>
      <c r="AD96" s="117"/>
      <c r="AE96" s="117"/>
      <c r="AF96" s="117">
        <f>Z96+AC96+W96+T96</f>
        <v>0</v>
      </c>
      <c r="AG96" s="117">
        <f>AA96+AD96+X96+U96</f>
        <v>0</v>
      </c>
      <c r="AH96" s="117"/>
      <c r="AI96" s="117"/>
      <c r="AJ96" s="117">
        <f>AI96*1.12</f>
        <v>0</v>
      </c>
      <c r="AK96" s="117"/>
      <c r="AL96" s="410">
        <f>ROUND(P96/1000,0)</f>
        <v>360</v>
      </c>
      <c r="AM96" s="64">
        <f>AL96*1.12</f>
        <v>403.20000000000005</v>
      </c>
      <c r="AN96" s="117"/>
      <c r="AO96" s="429">
        <f>AL96-360</f>
        <v>0</v>
      </c>
      <c r="AP96" s="429">
        <f>AM96-360*1.12</f>
        <v>0</v>
      </c>
      <c r="AQ96" s="64"/>
      <c r="AR96" s="476">
        <f>AL96/360</f>
        <v>1</v>
      </c>
      <c r="AS96" s="115"/>
      <c r="AT96" s="115"/>
      <c r="AU96" s="115"/>
      <c r="AV96" s="64">
        <f>ROUND(P96/1000,0)</f>
        <v>360</v>
      </c>
      <c r="AW96" s="64">
        <f>AV96*1.12</f>
        <v>403.20000000000005</v>
      </c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>
        <f>AL96-360</f>
        <v>0</v>
      </c>
      <c r="BM96" s="477" t="s">
        <v>129</v>
      </c>
      <c r="BN96" s="131"/>
      <c r="BO96" s="131"/>
      <c r="BP96" s="131"/>
      <c r="BQ96" s="131"/>
      <c r="BR96" s="131"/>
      <c r="BS96" s="131"/>
      <c r="BT96" s="131"/>
      <c r="BW96" s="322"/>
      <c r="BX96" s="321"/>
    </row>
    <row r="97" spans="1:76" s="320" customFormat="1" x14ac:dyDescent="0.25">
      <c r="A97" s="436"/>
      <c r="B97" s="235"/>
      <c r="C97" s="70" t="s">
        <v>6</v>
      </c>
      <c r="D97" s="70" t="s">
        <v>26</v>
      </c>
      <c r="E97" s="44"/>
      <c r="F97" s="103"/>
      <c r="G97" s="461"/>
      <c r="H97" s="44"/>
      <c r="I97" s="103"/>
      <c r="J97" s="103"/>
      <c r="K97" s="470"/>
      <c r="L97" s="235"/>
      <c r="M97" s="433"/>
      <c r="N97" s="332">
        <f>N96</f>
        <v>359892</v>
      </c>
      <c r="O97" s="332">
        <f>O96</f>
        <v>403079.04000000004</v>
      </c>
      <c r="P97" s="332">
        <f>N97</f>
        <v>359892</v>
      </c>
      <c r="Q97" s="332">
        <f>O97</f>
        <v>403079.04000000004</v>
      </c>
      <c r="R97" s="432"/>
      <c r="S97" s="431"/>
      <c r="T97" s="312"/>
      <c r="U97" s="312"/>
      <c r="V97" s="312"/>
      <c r="W97" s="312"/>
      <c r="X97" s="312"/>
      <c r="Y97" s="312"/>
      <c r="Z97" s="117"/>
      <c r="AA97" s="117"/>
      <c r="AB97" s="117"/>
      <c r="AC97" s="117"/>
      <c r="AD97" s="117"/>
      <c r="AE97" s="117"/>
      <c r="AF97" s="117">
        <f>Z97+AC97+W97+T97</f>
        <v>0</v>
      </c>
      <c r="AG97" s="117">
        <f>AA97+AD97+X97+U97</f>
        <v>0</v>
      </c>
      <c r="AH97" s="117"/>
      <c r="AI97" s="117"/>
      <c r="AJ97" s="117">
        <f>AI97*1.12</f>
        <v>0</v>
      </c>
      <c r="AK97" s="117"/>
      <c r="AL97" s="117">
        <f>403.07904/1.12</f>
        <v>359.892</v>
      </c>
      <c r="AM97" s="64">
        <f>AL97*1.12</f>
        <v>403.07904000000002</v>
      </c>
      <c r="AN97" s="117"/>
      <c r="AO97" s="429">
        <f>AL97-360</f>
        <v>-0.10800000000000409</v>
      </c>
      <c r="AP97" s="429">
        <f>AM97-360*1.12</f>
        <v>-0.12096000000002505</v>
      </c>
      <c r="AQ97" s="64"/>
      <c r="AR97" s="476">
        <f>AL97/359.892</f>
        <v>1</v>
      </c>
      <c r="AS97" s="115"/>
      <c r="AT97" s="115">
        <f>AL97</f>
        <v>359.892</v>
      </c>
      <c r="AU97" s="115"/>
      <c r="AV97" s="64">
        <f>AV96</f>
        <v>360</v>
      </c>
      <c r="AW97" s="64">
        <f>AV97*1.12</f>
        <v>403.20000000000005</v>
      </c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475"/>
      <c r="BN97" s="131"/>
      <c r="BO97" s="131"/>
      <c r="BP97" s="131"/>
      <c r="BQ97" s="131"/>
      <c r="BR97" s="131"/>
      <c r="BS97" s="131"/>
      <c r="BT97" s="131"/>
      <c r="BW97" s="322"/>
      <c r="BX97" s="321"/>
    </row>
    <row r="98" spans="1:76" s="320" customFormat="1" x14ac:dyDescent="0.25">
      <c r="A98" s="436"/>
      <c r="B98" s="235"/>
      <c r="C98" s="53" t="s">
        <v>6</v>
      </c>
      <c r="D98" s="53" t="s">
        <v>5</v>
      </c>
      <c r="E98" s="44"/>
      <c r="F98" s="103"/>
      <c r="G98" s="461"/>
      <c r="H98" s="44"/>
      <c r="I98" s="103"/>
      <c r="J98" s="103"/>
      <c r="K98" s="468"/>
      <c r="L98" s="233"/>
      <c r="M98" s="424"/>
      <c r="N98" s="325">
        <f>N97</f>
        <v>359892</v>
      </c>
      <c r="O98" s="325">
        <f>O97</f>
        <v>403079.04000000004</v>
      </c>
      <c r="P98" s="325">
        <f>N98</f>
        <v>359892</v>
      </c>
      <c r="Q98" s="325">
        <f>O98</f>
        <v>403079.04000000004</v>
      </c>
      <c r="R98" s="423"/>
      <c r="S98" s="422"/>
      <c r="T98" s="312"/>
      <c r="U98" s="312"/>
      <c r="V98" s="312"/>
      <c r="W98" s="312"/>
      <c r="X98" s="312"/>
      <c r="Y98" s="312"/>
      <c r="Z98" s="103"/>
      <c r="AA98" s="103"/>
      <c r="AB98" s="103"/>
      <c r="AC98" s="103"/>
      <c r="AD98" s="103"/>
      <c r="AE98" s="103"/>
      <c r="AF98" s="103">
        <f>Z98+AC98+W98+T98</f>
        <v>0</v>
      </c>
      <c r="AG98" s="103">
        <f>AA98+AD98+X98+U98</f>
        <v>0</v>
      </c>
      <c r="AH98" s="103"/>
      <c r="AI98" s="103"/>
      <c r="AJ98" s="103">
        <f>AI98*1.12</f>
        <v>0</v>
      </c>
      <c r="AK98" s="103"/>
      <c r="AL98" s="103">
        <f>AL97</f>
        <v>359.892</v>
      </c>
      <c r="AM98" s="44">
        <f>AL98*1.12</f>
        <v>403.07904000000002</v>
      </c>
      <c r="AN98" s="103"/>
      <c r="AO98" s="466">
        <f>AL98-360</f>
        <v>-0.10800000000000409</v>
      </c>
      <c r="AP98" s="466">
        <f>AM98-360*1.12</f>
        <v>-0.12096000000002505</v>
      </c>
      <c r="AQ98" s="44"/>
      <c r="AR98" s="474">
        <f>AL98/359.892</f>
        <v>1</v>
      </c>
      <c r="AS98" s="101"/>
      <c r="AT98" s="101">
        <f>AT97</f>
        <v>359.892</v>
      </c>
      <c r="AU98" s="101"/>
      <c r="AV98" s="44">
        <f>AV97</f>
        <v>360</v>
      </c>
      <c r="AW98" s="44">
        <f>AV98*1.12</f>
        <v>403.20000000000005</v>
      </c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73"/>
      <c r="BN98" s="131"/>
      <c r="BO98" s="131"/>
      <c r="BP98" s="131"/>
      <c r="BQ98" s="131"/>
      <c r="BR98" s="131"/>
      <c r="BS98" s="131"/>
      <c r="BT98" s="131"/>
      <c r="BW98" s="322"/>
      <c r="BX98" s="321"/>
    </row>
    <row r="99" spans="1:76" s="327" customFormat="1" ht="18.75" customHeight="1" x14ac:dyDescent="0.25">
      <c r="A99" s="442"/>
      <c r="B99" s="237" t="s">
        <v>128</v>
      </c>
      <c r="C99" s="70" t="s">
        <v>9</v>
      </c>
      <c r="D99" s="70" t="s">
        <v>8</v>
      </c>
      <c r="E99" s="64">
        <f>I99</f>
        <v>280</v>
      </c>
      <c r="F99" s="273">
        <f>J99</f>
        <v>280</v>
      </c>
      <c r="G99" s="441">
        <v>1818</v>
      </c>
      <c r="H99" s="437"/>
      <c r="I99" s="117">
        <v>280</v>
      </c>
      <c r="J99" s="273">
        <f>I99</f>
        <v>280</v>
      </c>
      <c r="K99" s="472" t="s">
        <v>127</v>
      </c>
      <c r="L99" s="237" t="s">
        <v>126</v>
      </c>
      <c r="M99" s="439" t="s">
        <v>13</v>
      </c>
      <c r="N99" s="471">
        <f>O99</f>
        <v>280300</v>
      </c>
      <c r="O99" s="332">
        <v>280300</v>
      </c>
      <c r="P99" s="471">
        <f>N99</f>
        <v>280300</v>
      </c>
      <c r="Q99" s="471">
        <f>O99</f>
        <v>280300</v>
      </c>
      <c r="R99" s="438" t="s">
        <v>125</v>
      </c>
      <c r="S99" s="437"/>
      <c r="T99" s="312"/>
      <c r="U99" s="312"/>
      <c r="V99" s="312"/>
      <c r="W99" s="312"/>
      <c r="X99" s="312"/>
      <c r="Y99" s="312"/>
      <c r="Z99" s="117"/>
      <c r="AA99" s="117"/>
      <c r="AB99" s="117"/>
      <c r="AC99" s="117"/>
      <c r="AD99" s="117"/>
      <c r="AE99" s="117"/>
      <c r="AF99" s="117">
        <f>Z99+AC99+W99+T99</f>
        <v>0</v>
      </c>
      <c r="AG99" s="117">
        <f>AA99+AD99+X99+U99</f>
        <v>0</v>
      </c>
      <c r="AH99" s="117"/>
      <c r="AI99" s="117">
        <v>280</v>
      </c>
      <c r="AJ99" s="273">
        <v>280</v>
      </c>
      <c r="AK99" s="117"/>
      <c r="AL99" s="410">
        <v>280</v>
      </c>
      <c r="AM99" s="429">
        <f>AL99</f>
        <v>280</v>
      </c>
      <c r="AN99" s="117"/>
      <c r="AO99" s="64">
        <f>AL99-AI99</f>
        <v>0</v>
      </c>
      <c r="AP99" s="64">
        <f>AM99-AJ99</f>
        <v>0</v>
      </c>
      <c r="AQ99" s="64"/>
      <c r="AR99" s="43">
        <f>IF(AI99=0,"",AL99/AI99)</f>
        <v>1</v>
      </c>
      <c r="AS99" s="115"/>
      <c r="AT99" s="115"/>
      <c r="AU99" s="115"/>
      <c r="AV99" s="430">
        <f>AL99</f>
        <v>280</v>
      </c>
      <c r="AW99" s="469">
        <f>AV99</f>
        <v>280</v>
      </c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61" t="s">
        <v>124</v>
      </c>
      <c r="BN99" s="138"/>
      <c r="BO99" s="138"/>
      <c r="BP99" s="138"/>
      <c r="BQ99" s="138"/>
      <c r="BR99" s="138"/>
      <c r="BS99" s="138"/>
      <c r="BT99" s="138"/>
      <c r="BW99" s="329"/>
      <c r="BX99" s="328"/>
    </row>
    <row r="100" spans="1:76" s="327" customFormat="1" ht="18.75" customHeight="1" x14ac:dyDescent="0.25">
      <c r="A100" s="436"/>
      <c r="B100" s="235"/>
      <c r="C100" s="70" t="s">
        <v>6</v>
      </c>
      <c r="D100" s="70" t="s">
        <v>26</v>
      </c>
      <c r="E100" s="64">
        <f>I100</f>
        <v>280</v>
      </c>
      <c r="F100" s="273">
        <f>J100</f>
        <v>280</v>
      </c>
      <c r="G100" s="435"/>
      <c r="H100" s="431"/>
      <c r="I100" s="117">
        <v>280</v>
      </c>
      <c r="J100" s="273">
        <f>I100</f>
        <v>280</v>
      </c>
      <c r="K100" s="470"/>
      <c r="L100" s="235"/>
      <c r="M100" s="433"/>
      <c r="N100" s="332">
        <f>N99</f>
        <v>280300</v>
      </c>
      <c r="O100" s="332">
        <f>O99</f>
        <v>280300</v>
      </c>
      <c r="P100" s="332">
        <f>N100</f>
        <v>280300</v>
      </c>
      <c r="Q100" s="332">
        <f>O100</f>
        <v>280300</v>
      </c>
      <c r="R100" s="432"/>
      <c r="S100" s="431"/>
      <c r="T100" s="312"/>
      <c r="U100" s="312"/>
      <c r="V100" s="312"/>
      <c r="W100" s="312"/>
      <c r="X100" s="312"/>
      <c r="Y100" s="312"/>
      <c r="Z100" s="117"/>
      <c r="AA100" s="117"/>
      <c r="AB100" s="117"/>
      <c r="AC100" s="117"/>
      <c r="AD100" s="117"/>
      <c r="AE100" s="117"/>
      <c r="AF100" s="117">
        <f>Z100+AC100+W100+T100</f>
        <v>0</v>
      </c>
      <c r="AG100" s="117">
        <f>AA100+AD100+X100+U100</f>
        <v>0</v>
      </c>
      <c r="AH100" s="117"/>
      <c r="AI100" s="117">
        <v>280</v>
      </c>
      <c r="AJ100" s="273">
        <f>AI100</f>
        <v>280</v>
      </c>
      <c r="AK100" s="117"/>
      <c r="AL100" s="117">
        <v>280.3</v>
      </c>
      <c r="AM100" s="429">
        <f>AL100</f>
        <v>280.3</v>
      </c>
      <c r="AN100" s="117"/>
      <c r="AO100" s="64">
        <f>AL100-AI100</f>
        <v>0.30000000000001137</v>
      </c>
      <c r="AP100" s="64">
        <f>AM100-AJ100</f>
        <v>0.30000000000001137</v>
      </c>
      <c r="AQ100" s="64"/>
      <c r="AR100" s="43">
        <f>IF(AI100=0,"",AL100/AI100)</f>
        <v>1.0010714285714286</v>
      </c>
      <c r="AS100" s="115"/>
      <c r="AT100" s="115">
        <f>AL100</f>
        <v>280.3</v>
      </c>
      <c r="AU100" s="115"/>
      <c r="AV100" s="430">
        <f>AL100</f>
        <v>280.3</v>
      </c>
      <c r="AW100" s="469">
        <f>AM100</f>
        <v>280.3</v>
      </c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428"/>
      <c r="BN100" s="138"/>
      <c r="BO100" s="138"/>
      <c r="BP100" s="138"/>
      <c r="BQ100" s="138"/>
      <c r="BR100" s="138"/>
      <c r="BS100" s="138"/>
      <c r="BT100" s="138"/>
      <c r="BW100" s="329"/>
      <c r="BX100" s="328"/>
    </row>
    <row r="101" spans="1:76" s="320" customFormat="1" ht="18.75" customHeight="1" x14ac:dyDescent="0.25">
      <c r="A101" s="427"/>
      <c r="B101" s="233"/>
      <c r="C101" s="53" t="s">
        <v>6</v>
      </c>
      <c r="D101" s="53" t="s">
        <v>5</v>
      </c>
      <c r="E101" s="44">
        <f>I101</f>
        <v>280</v>
      </c>
      <c r="F101" s="467">
        <f>J101</f>
        <v>280</v>
      </c>
      <c r="G101" s="426"/>
      <c r="H101" s="422"/>
      <c r="I101" s="103">
        <v>280</v>
      </c>
      <c r="J101" s="467">
        <f>I101</f>
        <v>280</v>
      </c>
      <c r="K101" s="468"/>
      <c r="L101" s="233"/>
      <c r="M101" s="424"/>
      <c r="N101" s="325">
        <f>N100</f>
        <v>280300</v>
      </c>
      <c r="O101" s="325">
        <f>O100</f>
        <v>280300</v>
      </c>
      <c r="P101" s="325">
        <f>N101</f>
        <v>280300</v>
      </c>
      <c r="Q101" s="325">
        <f>O101</f>
        <v>280300</v>
      </c>
      <c r="R101" s="423"/>
      <c r="S101" s="422"/>
      <c r="T101" s="312"/>
      <c r="U101" s="312"/>
      <c r="V101" s="312"/>
      <c r="W101" s="312"/>
      <c r="X101" s="312"/>
      <c r="Y101" s="312"/>
      <c r="Z101" s="103"/>
      <c r="AA101" s="103"/>
      <c r="AB101" s="103"/>
      <c r="AC101" s="103"/>
      <c r="AD101" s="103"/>
      <c r="AE101" s="103"/>
      <c r="AF101" s="103">
        <f>Z101+AC101+W101+T101</f>
        <v>0</v>
      </c>
      <c r="AG101" s="103">
        <f>AA101+AD101+X101+U101</f>
        <v>0</v>
      </c>
      <c r="AH101" s="103"/>
      <c r="AI101" s="103">
        <f>AI100</f>
        <v>280</v>
      </c>
      <c r="AJ101" s="467">
        <f>AI101</f>
        <v>280</v>
      </c>
      <c r="AK101" s="103"/>
      <c r="AL101" s="103">
        <f>AL100</f>
        <v>280.3</v>
      </c>
      <c r="AM101" s="466">
        <f>AL101</f>
        <v>280.3</v>
      </c>
      <c r="AN101" s="103"/>
      <c r="AO101" s="44">
        <f>AL101-AI101</f>
        <v>0.30000000000001137</v>
      </c>
      <c r="AP101" s="44">
        <f>AM101-AJ101</f>
        <v>0.30000000000001137</v>
      </c>
      <c r="AQ101" s="44"/>
      <c r="AR101" s="324">
        <f>IF(AI101=0,"",AL101/AI101)</f>
        <v>1.0010714285714286</v>
      </c>
      <c r="AS101" s="101"/>
      <c r="AT101" s="101">
        <f>AL101</f>
        <v>280.3</v>
      </c>
      <c r="AU101" s="101"/>
      <c r="AV101" s="465">
        <f>AV100</f>
        <v>280.3</v>
      </c>
      <c r="AW101" s="464">
        <f>AM101</f>
        <v>280.3</v>
      </c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0"/>
      <c r="BN101" s="131"/>
      <c r="BO101" s="131"/>
      <c r="BP101" s="131"/>
      <c r="BQ101" s="131"/>
      <c r="BR101" s="131"/>
      <c r="BS101" s="131"/>
      <c r="BT101" s="131"/>
      <c r="BW101" s="322"/>
      <c r="BX101" s="321"/>
    </row>
    <row r="102" spans="1:76" s="320" customFormat="1" ht="25.5" hidden="1" outlineLevel="1" x14ac:dyDescent="0.25">
      <c r="A102" s="463"/>
      <c r="B102" s="462" t="s">
        <v>123</v>
      </c>
      <c r="C102" s="53" t="s">
        <v>6</v>
      </c>
      <c r="D102" s="53" t="s">
        <v>5</v>
      </c>
      <c r="E102" s="44"/>
      <c r="F102" s="44">
        <f>E102*1.12</f>
        <v>0</v>
      </c>
      <c r="G102" s="461"/>
      <c r="H102" s="44"/>
      <c r="I102" s="103"/>
      <c r="J102" s="103">
        <f>I102*1.12</f>
        <v>0</v>
      </c>
      <c r="K102" s="136"/>
      <c r="L102" s="135"/>
      <c r="M102" s="134"/>
      <c r="N102" s="325"/>
      <c r="O102" s="325"/>
      <c r="P102" s="325"/>
      <c r="Q102" s="325"/>
      <c r="R102" s="133"/>
      <c r="S102" s="44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>
        <f>AI102*1.12</f>
        <v>0</v>
      </c>
      <c r="AK102" s="103"/>
      <c r="AL102" s="103"/>
      <c r="AM102" s="44">
        <f>AL102*1.12</f>
        <v>0</v>
      </c>
      <c r="AN102" s="103"/>
      <c r="AO102" s="44">
        <f>AL102-AI102</f>
        <v>0</v>
      </c>
      <c r="AP102" s="44">
        <f>AM102-AJ102</f>
        <v>0</v>
      </c>
      <c r="AQ102" s="44"/>
      <c r="AR102" s="324" t="str">
        <f>IF(AI102=0,"",AL102/AI102)</f>
        <v/>
      </c>
      <c r="AS102" s="101">
        <f>AL102</f>
        <v>0</v>
      </c>
      <c r="AT102" s="101"/>
      <c r="AU102" s="101"/>
      <c r="AV102" s="44">
        <f>I102</f>
        <v>0</v>
      </c>
      <c r="AW102" s="44">
        <f>AV102*1.12</f>
        <v>0</v>
      </c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131"/>
      <c r="BN102" s="131"/>
      <c r="BO102" s="131"/>
      <c r="BP102" s="131"/>
      <c r="BQ102" s="131"/>
      <c r="BR102" s="131"/>
      <c r="BS102" s="131"/>
      <c r="BT102" s="131"/>
      <c r="BW102" s="322"/>
      <c r="BX102" s="321"/>
    </row>
    <row r="103" spans="1:76" s="327" customFormat="1" ht="12.75" customHeight="1" collapsed="1" x14ac:dyDescent="0.25">
      <c r="A103" s="88">
        <v>2</v>
      </c>
      <c r="B103" s="87" t="s">
        <v>122</v>
      </c>
      <c r="C103" s="97" t="s">
        <v>9</v>
      </c>
      <c r="D103" s="97" t="s">
        <v>8</v>
      </c>
      <c r="E103" s="245">
        <f>E107+E110+E113+E116</f>
        <v>48305880</v>
      </c>
      <c r="F103" s="245">
        <f>F107+F110+F113+F116</f>
        <v>54102585.600000009</v>
      </c>
      <c r="G103" s="417"/>
      <c r="H103" s="245">
        <f>H107+H110+H113+H116</f>
        <v>1259</v>
      </c>
      <c r="I103" s="410">
        <f>I107+I110+I113+I116</f>
        <v>17893268</v>
      </c>
      <c r="J103" s="410">
        <f>J107+J110+J113+J116</f>
        <v>20040460.160000004</v>
      </c>
      <c r="K103" s="92"/>
      <c r="L103" s="416"/>
      <c r="M103" s="415"/>
      <c r="N103" s="414">
        <f>N107+N110+N113+N116</f>
        <v>27972036580.35714</v>
      </c>
      <c r="O103" s="414">
        <f>O107+O110+O113+O116</f>
        <v>31328680970</v>
      </c>
      <c r="P103" s="414">
        <f>P107+P110+P113+P116</f>
        <v>27972036580.35714</v>
      </c>
      <c r="Q103" s="414">
        <f>Q107+Q110+Q113+Q116</f>
        <v>31328680970</v>
      </c>
      <c r="R103" s="413"/>
      <c r="S103" s="245">
        <f>S107+S110+S113</f>
        <v>1500</v>
      </c>
      <c r="T103" s="410">
        <f>T107+T110+T113+T116</f>
        <v>2675583</v>
      </c>
      <c r="U103" s="410">
        <f>U107+U110+U113+U116</f>
        <v>2996652.9600000004</v>
      </c>
      <c r="V103" s="410">
        <f>V107+V110+V113+V116</f>
        <v>195</v>
      </c>
      <c r="W103" s="410">
        <f>W107+W110+W113+W116</f>
        <v>2771629</v>
      </c>
      <c r="X103" s="410">
        <f>X107+X110+X113+X116</f>
        <v>3104224.4800000004</v>
      </c>
      <c r="Y103" s="410">
        <f>Y107+Y110+Y113+Y116</f>
        <v>202</v>
      </c>
      <c r="Z103" s="410">
        <f>Z107+Z110+Z113+Z116</f>
        <v>0</v>
      </c>
      <c r="AA103" s="410">
        <f>AA107+AA110+AA113+AA116</f>
        <v>0</v>
      </c>
      <c r="AB103" s="410">
        <f>AB107+AB110+AB113+AB116</f>
        <v>0</v>
      </c>
      <c r="AC103" s="410">
        <f>AC107+AC110+AC113+AC116</f>
        <v>986684</v>
      </c>
      <c r="AD103" s="410">
        <f>AD107+AD110+AD113+AD116</f>
        <v>1105086.08</v>
      </c>
      <c r="AE103" s="410">
        <f>AE107+AE110+AE113+AE116</f>
        <v>84</v>
      </c>
      <c r="AF103" s="410">
        <f>AF107+AF110+AF113+AF116</f>
        <v>6433896</v>
      </c>
      <c r="AG103" s="410">
        <f>AG107+AG110+AG113+AG116</f>
        <v>7205963.5200000014</v>
      </c>
      <c r="AH103" s="410">
        <f>AH107+AH110+AH113+AH116</f>
        <v>481</v>
      </c>
      <c r="AI103" s="410">
        <f>AI107+AI110+AI113+AI116</f>
        <v>17893268</v>
      </c>
      <c r="AJ103" s="410">
        <f>AJ107+AJ110+AJ113+AJ116</f>
        <v>20040460.160000004</v>
      </c>
      <c r="AK103" s="410">
        <f>AK107+AK110+AK113+AK116</f>
        <v>1259</v>
      </c>
      <c r="AL103" s="410">
        <f>AL107+AL110+AL113+AL116</f>
        <v>5867961</v>
      </c>
      <c r="AM103" s="245">
        <f>AM107+AM110+AM113+AM116</f>
        <v>6572116.3200000003</v>
      </c>
      <c r="AN103" s="410">
        <f>AN107+AN110+AN113+AN116</f>
        <v>402</v>
      </c>
      <c r="AO103" s="245">
        <f>AO107+AO110+AO113+AO116</f>
        <v>-12025307</v>
      </c>
      <c r="AP103" s="245">
        <f>AP107+AP110+AP113+AP116</f>
        <v>-13468343.840000002</v>
      </c>
      <c r="AQ103" s="245">
        <f>AQ107+AQ110+AQ113+AQ116</f>
        <v>-857</v>
      </c>
      <c r="AR103" s="412">
        <f>IF(AI103=0,"",AL103/AI103)</f>
        <v>0.32794238592972508</v>
      </c>
      <c r="AS103" s="460">
        <f>AS107+AS110+AS113+AS116</f>
        <v>0</v>
      </c>
      <c r="AT103" s="460">
        <f>AT107+AT110+AT113+AT116</f>
        <v>0</v>
      </c>
      <c r="AU103" s="460">
        <f>AU107+AU110+AU113+AU116</f>
        <v>0</v>
      </c>
      <c r="AV103" s="245">
        <f>AV107+AV110+AV113+AV116</f>
        <v>27191975</v>
      </c>
      <c r="AW103" s="245">
        <f>AW107+AW110+AW113+AW116</f>
        <v>30455012.000000004</v>
      </c>
      <c r="AX103" s="245">
        <f>AX107+AX110+AX113+AX116</f>
        <v>1898</v>
      </c>
      <c r="AY103" s="245">
        <f>AY107+AY110+AY113+AY116</f>
        <v>0</v>
      </c>
      <c r="AZ103" s="245">
        <f>AZ107+AZ110+AZ113+AZ116</f>
        <v>0</v>
      </c>
      <c r="BA103" s="245">
        <f>BA107+BA110+BA113+BA116</f>
        <v>0</v>
      </c>
      <c r="BB103" s="245">
        <f>BB107+BB110+BB113+BB116</f>
        <v>0</v>
      </c>
      <c r="BC103" s="245">
        <f>BC107+BC110+BC113+BC116</f>
        <v>-12169037</v>
      </c>
      <c r="BD103" s="245">
        <f>BD107+BD110+BD113+BD116</f>
        <v>0</v>
      </c>
      <c r="BE103" s="245">
        <f>BE107+BE110+BE113+BE116</f>
        <v>0</v>
      </c>
      <c r="BF103" s="245">
        <f>BF107+BF110+BF113+BF116</f>
        <v>0</v>
      </c>
      <c r="BG103" s="245">
        <f>BG107+BG110+BG113+BG116</f>
        <v>0</v>
      </c>
      <c r="BH103" s="245">
        <f>BH107+BH110+BH113+BH116</f>
        <v>0</v>
      </c>
      <c r="BI103" s="245">
        <f>BI107+BI110+BI113+BI116</f>
        <v>0</v>
      </c>
      <c r="BJ103" s="245">
        <f>BJ107+BJ110+BJ113+BJ116</f>
        <v>0</v>
      </c>
      <c r="BK103" s="245">
        <f>BK107+BK110+BK113+BK116</f>
        <v>0</v>
      </c>
      <c r="BL103" s="245">
        <f>BL107+BL110+BL113+BL116</f>
        <v>143730</v>
      </c>
      <c r="BM103" s="89"/>
      <c r="BN103" s="89">
        <f>BN107+BN110+BN113</f>
        <v>0</v>
      </c>
      <c r="BO103" s="245">
        <f>BO107+BO110+BO113+BO116</f>
        <v>0</v>
      </c>
      <c r="BP103" s="245">
        <f>BP107+BP110+BP113+BP116</f>
        <v>0</v>
      </c>
      <c r="BQ103" s="245">
        <f>BQ107+BQ110+BQ113+BQ116</f>
        <v>0</v>
      </c>
      <c r="BR103" s="89"/>
      <c r="BS103" s="89"/>
      <c r="BT103" s="89"/>
      <c r="BW103" s="419">
        <f>SUM(AY103:BL103)</f>
        <v>-12025307</v>
      </c>
      <c r="BX103" s="418">
        <f>AO103-BW103</f>
        <v>0</v>
      </c>
    </row>
    <row r="104" spans="1:76" s="327" customFormat="1" x14ac:dyDescent="0.25">
      <c r="A104" s="459"/>
      <c r="B104" s="458"/>
      <c r="C104" s="97" t="s">
        <v>6</v>
      </c>
      <c r="D104" s="97" t="s">
        <v>26</v>
      </c>
      <c r="E104" s="245">
        <f>E105+E106</f>
        <v>43235434</v>
      </c>
      <c r="F104" s="245">
        <f>F105+F106</f>
        <v>48423686.080000006</v>
      </c>
      <c r="G104" s="417"/>
      <c r="H104" s="245"/>
      <c r="I104" s="410">
        <f>I105+I106</f>
        <v>5642054</v>
      </c>
      <c r="J104" s="410">
        <f>J105+J106</f>
        <v>6319100.4800000004</v>
      </c>
      <c r="K104" s="92">
        <f>K105+K106</f>
        <v>0</v>
      </c>
      <c r="L104" s="416">
        <f>L105+L106</f>
        <v>0</v>
      </c>
      <c r="M104" s="415">
        <f>M105+M106</f>
        <v>0</v>
      </c>
      <c r="N104" s="414">
        <f>N105+N106</f>
        <v>27972036580.35714</v>
      </c>
      <c r="O104" s="414">
        <f>O105+O106</f>
        <v>31328680970</v>
      </c>
      <c r="P104" s="414">
        <f>P105+P106</f>
        <v>27972036580.35714</v>
      </c>
      <c r="Q104" s="414">
        <f>Q105+Q106</f>
        <v>31328680970</v>
      </c>
      <c r="R104" s="413"/>
      <c r="S104" s="245">
        <f>S105+S106</f>
        <v>0</v>
      </c>
      <c r="T104" s="410">
        <f>T105+T106</f>
        <v>3958933.9285714282</v>
      </c>
      <c r="U104" s="410">
        <f>U105+U106</f>
        <v>4434006</v>
      </c>
      <c r="V104" s="410">
        <f>V105+V106</f>
        <v>0</v>
      </c>
      <c r="W104" s="410">
        <f>W105+W106</f>
        <v>2900534.6294642854</v>
      </c>
      <c r="X104" s="410">
        <f>X105+X106</f>
        <v>3248598.7850000001</v>
      </c>
      <c r="Y104" s="410">
        <f>Y105+Y106</f>
        <v>0</v>
      </c>
      <c r="Z104" s="410">
        <f>Z105+Z106</f>
        <v>0</v>
      </c>
      <c r="AA104" s="410">
        <f>AA105+AA106</f>
        <v>0</v>
      </c>
      <c r="AB104" s="410">
        <f>AB105+AB106</f>
        <v>0</v>
      </c>
      <c r="AC104" s="410">
        <f>AC105+AC106</f>
        <v>7335676.7232142845</v>
      </c>
      <c r="AD104" s="410">
        <f>AD105+AD106</f>
        <v>8215957.9299999997</v>
      </c>
      <c r="AE104" s="410">
        <f>AE105+AE106</f>
        <v>0</v>
      </c>
      <c r="AF104" s="410">
        <f>AF105+AF106</f>
        <v>14195145.281249998</v>
      </c>
      <c r="AG104" s="410">
        <f>AG105+AG106</f>
        <v>15898562.715</v>
      </c>
      <c r="AH104" s="410">
        <f>AH105+AH106</f>
        <v>0</v>
      </c>
      <c r="AI104" s="410">
        <f>AI105+AI106</f>
        <v>5642054</v>
      </c>
      <c r="AJ104" s="410">
        <f>AJ105+AJ106</f>
        <v>6319100.4800000004</v>
      </c>
      <c r="AK104" s="410"/>
      <c r="AL104" s="410">
        <f>AL105+AL106</f>
        <v>5642053.5363392849</v>
      </c>
      <c r="AM104" s="245">
        <f>AM105+AM106</f>
        <v>6319099.9606999997</v>
      </c>
      <c r="AN104" s="410"/>
      <c r="AO104" s="245">
        <f>AO105+AO106</f>
        <v>-0.46366071421653032</v>
      </c>
      <c r="AP104" s="245">
        <f>AP105+AP106</f>
        <v>-0.51930000027641654</v>
      </c>
      <c r="AQ104" s="245"/>
      <c r="AR104" s="412">
        <f>IF(AI104=0,"",AL104/AI104)</f>
        <v>0.99999991782058184</v>
      </c>
      <c r="AS104" s="460">
        <f>AS105+AS106</f>
        <v>496197.32139964297</v>
      </c>
      <c r="AT104" s="460">
        <f>AT105+AT106</f>
        <v>1396703.571347143</v>
      </c>
      <c r="AU104" s="460">
        <f>AU105+AU106</f>
        <v>3749152.6435924992</v>
      </c>
      <c r="AV104" s="245">
        <f>AV105+AV106</f>
        <v>11525859.786339287</v>
      </c>
      <c r="AW104" s="245">
        <f>AW105+AW106</f>
        <v>12908962.960700002</v>
      </c>
      <c r="AX104" s="245">
        <f>AX105+AX106</f>
        <v>0</v>
      </c>
      <c r="AY104" s="245">
        <f>AY105+AY106</f>
        <v>0</v>
      </c>
      <c r="AZ104" s="245">
        <f>AZ105+AZ106</f>
        <v>0</v>
      </c>
      <c r="BA104" s="245">
        <f>BA105+BA106</f>
        <v>0</v>
      </c>
      <c r="BB104" s="245">
        <f>BB105+BB106</f>
        <v>0</v>
      </c>
      <c r="BC104" s="245">
        <f>BC105+BC106</f>
        <v>0</v>
      </c>
      <c r="BD104" s="245">
        <f>BD105+BD106</f>
        <v>0</v>
      </c>
      <c r="BE104" s="245">
        <f>BE105+BE106</f>
        <v>0</v>
      </c>
      <c r="BF104" s="245">
        <f>BF105+BF106</f>
        <v>0</v>
      </c>
      <c r="BG104" s="245">
        <f>BG105+BG106</f>
        <v>0</v>
      </c>
      <c r="BH104" s="245">
        <f>BH105+BH106</f>
        <v>0</v>
      </c>
      <c r="BI104" s="245">
        <f>BI105+BI106</f>
        <v>0</v>
      </c>
      <c r="BJ104" s="245">
        <f>BJ105+BJ106</f>
        <v>0</v>
      </c>
      <c r="BK104" s="245">
        <f>BK105+BK106</f>
        <v>0</v>
      </c>
      <c r="BL104" s="245">
        <f>BL105+BL106</f>
        <v>0</v>
      </c>
      <c r="BM104" s="89"/>
      <c r="BN104" s="89">
        <f>BN105+BN106</f>
        <v>0</v>
      </c>
      <c r="BO104" s="245">
        <f>BO105+BO106</f>
        <v>0</v>
      </c>
      <c r="BP104" s="245">
        <f>BP105+BP106</f>
        <v>5678900.0392899998</v>
      </c>
      <c r="BQ104" s="245">
        <f>BQ105+BQ106</f>
        <v>0</v>
      </c>
      <c r="BR104" s="89"/>
      <c r="BS104" s="89"/>
      <c r="BT104" s="89"/>
      <c r="BW104" s="329"/>
      <c r="BX104" s="328"/>
    </row>
    <row r="105" spans="1:76" s="393" customFormat="1" x14ac:dyDescent="0.25">
      <c r="A105" s="459"/>
      <c r="B105" s="458"/>
      <c r="C105" s="457" t="s">
        <v>6</v>
      </c>
      <c r="D105" s="408" t="s">
        <v>5</v>
      </c>
      <c r="E105" s="397">
        <f>E109+E112+E118</f>
        <v>29773864</v>
      </c>
      <c r="F105" s="397">
        <f>F109+F112+F118</f>
        <v>33346727.680000003</v>
      </c>
      <c r="G105" s="407"/>
      <c r="H105" s="397"/>
      <c r="I105" s="401">
        <f>I109+I112+I118</f>
        <v>2579554</v>
      </c>
      <c r="J105" s="401">
        <f>J109+J112+J118</f>
        <v>2889100.4800000004</v>
      </c>
      <c r="K105" s="406">
        <f>K109+K112</f>
        <v>0</v>
      </c>
      <c r="L105" s="405">
        <f>L109+L112</f>
        <v>0</v>
      </c>
      <c r="M105" s="404">
        <f>M109+M112</f>
        <v>0</v>
      </c>
      <c r="N105" s="403">
        <f>N109+N112+N118</f>
        <v>14510467000</v>
      </c>
      <c r="O105" s="403">
        <f>O109+O112+O118</f>
        <v>16251723040</v>
      </c>
      <c r="P105" s="403">
        <f>P109+P112+P118</f>
        <v>14510467000</v>
      </c>
      <c r="Q105" s="403">
        <f>Q109+Q112+Q118</f>
        <v>16251723040</v>
      </c>
      <c r="R105" s="402">
        <f>R109+R112</f>
        <v>0</v>
      </c>
      <c r="S105" s="397">
        <f>S109+S112</f>
        <v>0</v>
      </c>
      <c r="T105" s="401">
        <f>T109+T112+T118</f>
        <v>3958933.9285714282</v>
      </c>
      <c r="U105" s="401">
        <f>U109+U112+U118</f>
        <v>4434006</v>
      </c>
      <c r="V105" s="401">
        <f>V109+V112+V118</f>
        <v>0</v>
      </c>
      <c r="W105" s="401">
        <f>W109+W112+W118</f>
        <v>2900534.6294642854</v>
      </c>
      <c r="X105" s="401">
        <f>X109+X112+X118</f>
        <v>3248598.7850000001</v>
      </c>
      <c r="Y105" s="401">
        <f>Y109+Y112+Y118</f>
        <v>0</v>
      </c>
      <c r="Z105" s="401">
        <f>Z109+Z112+Z118</f>
        <v>0</v>
      </c>
      <c r="AA105" s="401">
        <f>AA109+AA112+AA118</f>
        <v>0</v>
      </c>
      <c r="AB105" s="401">
        <f>AB109+AB112+AB118</f>
        <v>0</v>
      </c>
      <c r="AC105" s="401">
        <f>AC109+AC112+AC118</f>
        <v>0</v>
      </c>
      <c r="AD105" s="401">
        <f>AD109+AD112+AD118</f>
        <v>0</v>
      </c>
      <c r="AE105" s="401">
        <f>AE109+AE112+AE118</f>
        <v>0</v>
      </c>
      <c r="AF105" s="401">
        <f>AF109+AF112+AF118</f>
        <v>6859468.5580357136</v>
      </c>
      <c r="AG105" s="401">
        <f>AG109+AG112+AG118</f>
        <v>7682604.7850000001</v>
      </c>
      <c r="AH105" s="401">
        <f>AH109+AH112+AH118</f>
        <v>0</v>
      </c>
      <c r="AI105" s="401">
        <f>AI109+AI112+AI118</f>
        <v>2579554</v>
      </c>
      <c r="AJ105" s="401">
        <f>AJ109+AJ112+AJ118</f>
        <v>2889100.4800000004</v>
      </c>
      <c r="AK105" s="401"/>
      <c r="AL105" s="401">
        <f>AL109+AL112+AL118</f>
        <v>2579553.5363392858</v>
      </c>
      <c r="AM105" s="397">
        <f>AM109+AM112+AM118</f>
        <v>2889099.9607000002</v>
      </c>
      <c r="AN105" s="401"/>
      <c r="AO105" s="397">
        <f>AO109+AO112+AO118</f>
        <v>-0.46366071421653032</v>
      </c>
      <c r="AP105" s="397">
        <f>AP109+AP112+AP118</f>
        <v>-0.51930000027641654</v>
      </c>
      <c r="AQ105" s="397"/>
      <c r="AR105" s="453">
        <f>IF(AI105=0,"",AL105/AI105)</f>
        <v>0.99999982025547274</v>
      </c>
      <c r="AS105" s="399">
        <f>AS109+AS112+AS118</f>
        <v>0</v>
      </c>
      <c r="AT105" s="399">
        <f>AT109+AT112+AT118</f>
        <v>0</v>
      </c>
      <c r="AU105" s="399">
        <f>AU109+AU112+AU118</f>
        <v>2579553.5363392858</v>
      </c>
      <c r="AV105" s="397">
        <f>AV109+AV112+AV118</f>
        <v>8463359.7863392867</v>
      </c>
      <c r="AW105" s="397">
        <f>AW109+AW112+AW118</f>
        <v>9478962.9607000016</v>
      </c>
      <c r="AX105" s="397">
        <f>AX109+AX112+AX118</f>
        <v>0</v>
      </c>
      <c r="AY105" s="397">
        <f>AY109+AY112+AY118</f>
        <v>0</v>
      </c>
      <c r="AZ105" s="397">
        <f>AZ109+AZ112+AZ118</f>
        <v>0</v>
      </c>
      <c r="BA105" s="397">
        <f>BA109+BA112+BA118</f>
        <v>0</v>
      </c>
      <c r="BB105" s="397">
        <f>BB109+BB112+BB118</f>
        <v>0</v>
      </c>
      <c r="BC105" s="397">
        <f>BC109+BC112+BC118</f>
        <v>0</v>
      </c>
      <c r="BD105" s="397">
        <f>BD109+BD112+BD118</f>
        <v>0</v>
      </c>
      <c r="BE105" s="397">
        <f>BE109+BE112+BE118</f>
        <v>0</v>
      </c>
      <c r="BF105" s="397">
        <f>BF109+BF112+BF118</f>
        <v>0</v>
      </c>
      <c r="BG105" s="397">
        <f>BG109+BG112+BG118</f>
        <v>0</v>
      </c>
      <c r="BH105" s="397">
        <f>BH109+BH112+BH118</f>
        <v>0</v>
      </c>
      <c r="BI105" s="397">
        <f>BI109+BI112+BI118</f>
        <v>0</v>
      </c>
      <c r="BJ105" s="397">
        <f>BJ109+BJ112+BJ118</f>
        <v>0</v>
      </c>
      <c r="BK105" s="397">
        <f>BK109+BK112+BK118</f>
        <v>0</v>
      </c>
      <c r="BL105" s="397">
        <f>BL109+BL112+BL118</f>
        <v>0</v>
      </c>
      <c r="BM105" s="396"/>
      <c r="BN105" s="396">
        <f>BN109+BN112</f>
        <v>0</v>
      </c>
      <c r="BO105" s="397">
        <f>BO109+BO112+BO118</f>
        <v>0</v>
      </c>
      <c r="BP105" s="397">
        <f>BP109+BP112+BP118</f>
        <v>5678900.0392899998</v>
      </c>
      <c r="BQ105" s="397">
        <f>BQ109+BQ112+BQ118</f>
        <v>0</v>
      </c>
      <c r="BR105" s="396"/>
      <c r="BS105" s="396"/>
      <c r="BT105" s="396"/>
      <c r="BW105" s="395"/>
      <c r="BX105" s="394"/>
    </row>
    <row r="106" spans="1:76" s="393" customFormat="1" x14ac:dyDescent="0.25">
      <c r="A106" s="456"/>
      <c r="B106" s="455"/>
      <c r="C106" s="454"/>
      <c r="D106" s="408" t="s">
        <v>115</v>
      </c>
      <c r="E106" s="397">
        <f>E115</f>
        <v>13461570</v>
      </c>
      <c r="F106" s="397">
        <f>F115</f>
        <v>15076958.400000002</v>
      </c>
      <c r="G106" s="407"/>
      <c r="H106" s="397"/>
      <c r="I106" s="401">
        <f>I115</f>
        <v>3062500</v>
      </c>
      <c r="J106" s="401">
        <f>J115</f>
        <v>3430000.0000000005</v>
      </c>
      <c r="K106" s="406">
        <f>K115</f>
        <v>0</v>
      </c>
      <c r="L106" s="405">
        <f>L115</f>
        <v>0</v>
      </c>
      <c r="M106" s="404">
        <f>M115</f>
        <v>0</v>
      </c>
      <c r="N106" s="403">
        <f>N115</f>
        <v>13461569580.357141</v>
      </c>
      <c r="O106" s="403">
        <f>O115</f>
        <v>15076957930</v>
      </c>
      <c r="P106" s="403">
        <f>P115</f>
        <v>13461569580.357141</v>
      </c>
      <c r="Q106" s="403">
        <f>Q115</f>
        <v>15076957930</v>
      </c>
      <c r="R106" s="402">
        <f>R115</f>
        <v>0</v>
      </c>
      <c r="S106" s="397">
        <f>S115</f>
        <v>0</v>
      </c>
      <c r="T106" s="401">
        <f>T115</f>
        <v>0</v>
      </c>
      <c r="U106" s="401">
        <f>U115</f>
        <v>0</v>
      </c>
      <c r="V106" s="401">
        <f>V115</f>
        <v>0</v>
      </c>
      <c r="W106" s="401">
        <f>W115</f>
        <v>0</v>
      </c>
      <c r="X106" s="401">
        <f>X115</f>
        <v>0</v>
      </c>
      <c r="Y106" s="401">
        <f>Y115</f>
        <v>0</v>
      </c>
      <c r="Z106" s="401">
        <f>Z115</f>
        <v>0</v>
      </c>
      <c r="AA106" s="401">
        <f>AA115</f>
        <v>0</v>
      </c>
      <c r="AB106" s="401">
        <f>AB115</f>
        <v>0</v>
      </c>
      <c r="AC106" s="401">
        <f>AC115</f>
        <v>7335676.7232142845</v>
      </c>
      <c r="AD106" s="401">
        <f>AD115</f>
        <v>8215957.9299999997</v>
      </c>
      <c r="AE106" s="401">
        <f>AE115</f>
        <v>0</v>
      </c>
      <c r="AF106" s="401">
        <f>AF115</f>
        <v>7335676.7232142845</v>
      </c>
      <c r="AG106" s="401">
        <f>AG115</f>
        <v>8215957.9299999997</v>
      </c>
      <c r="AH106" s="401">
        <f>AH115</f>
        <v>0</v>
      </c>
      <c r="AI106" s="401">
        <f>AI115</f>
        <v>3062500</v>
      </c>
      <c r="AJ106" s="401">
        <f>AJ115</f>
        <v>3430000.0000000005</v>
      </c>
      <c r="AK106" s="401"/>
      <c r="AL106" s="401">
        <f>AL115</f>
        <v>3062499.9999999995</v>
      </c>
      <c r="AM106" s="397">
        <f>AM115</f>
        <v>3430000</v>
      </c>
      <c r="AN106" s="401"/>
      <c r="AO106" s="397">
        <f>AO115</f>
        <v>0</v>
      </c>
      <c r="AP106" s="397">
        <f>AP115</f>
        <v>0</v>
      </c>
      <c r="AQ106" s="397"/>
      <c r="AR106" s="453">
        <f>IF(AI106=0,"",AL106/AI106)</f>
        <v>0.99999999999999989</v>
      </c>
      <c r="AS106" s="399">
        <f>AS115</f>
        <v>496197.32139964297</v>
      </c>
      <c r="AT106" s="399">
        <f>AT115</f>
        <v>1396703.571347143</v>
      </c>
      <c r="AU106" s="399">
        <f>AU115</f>
        <v>1169599.1072532134</v>
      </c>
      <c r="AV106" s="397">
        <f>AV115</f>
        <v>3062500</v>
      </c>
      <c r="AW106" s="397">
        <f>AW115</f>
        <v>3430000.0000000005</v>
      </c>
      <c r="AX106" s="397">
        <f>AX115</f>
        <v>0</v>
      </c>
      <c r="AY106" s="397">
        <f>AY115</f>
        <v>0</v>
      </c>
      <c r="AZ106" s="397">
        <f>AZ115</f>
        <v>0</v>
      </c>
      <c r="BA106" s="397">
        <f>BA115</f>
        <v>0</v>
      </c>
      <c r="BB106" s="397">
        <f>BB115</f>
        <v>0</v>
      </c>
      <c r="BC106" s="397">
        <f>BC115</f>
        <v>0</v>
      </c>
      <c r="BD106" s="397">
        <f>BD115</f>
        <v>0</v>
      </c>
      <c r="BE106" s="397">
        <f>BE115</f>
        <v>0</v>
      </c>
      <c r="BF106" s="397">
        <f>BF115</f>
        <v>0</v>
      </c>
      <c r="BG106" s="397">
        <f>BG115</f>
        <v>0</v>
      </c>
      <c r="BH106" s="397">
        <f>BH115</f>
        <v>0</v>
      </c>
      <c r="BI106" s="397">
        <f>BI115</f>
        <v>0</v>
      </c>
      <c r="BJ106" s="397">
        <f>BJ115</f>
        <v>0</v>
      </c>
      <c r="BK106" s="397">
        <f>BK115</f>
        <v>0</v>
      </c>
      <c r="BL106" s="397">
        <f>BL115</f>
        <v>0</v>
      </c>
      <c r="BM106" s="396"/>
      <c r="BN106" s="396">
        <f>BN115</f>
        <v>0</v>
      </c>
      <c r="BO106" s="397">
        <f>BO115</f>
        <v>0</v>
      </c>
      <c r="BP106" s="397">
        <f>BP115</f>
        <v>0</v>
      </c>
      <c r="BQ106" s="397">
        <f>BQ115</f>
        <v>0</v>
      </c>
      <c r="BR106" s="396"/>
      <c r="BS106" s="396"/>
      <c r="BT106" s="396"/>
      <c r="BW106" s="395"/>
      <c r="BX106" s="394"/>
    </row>
    <row r="107" spans="1:76" s="327" customFormat="1" x14ac:dyDescent="0.25">
      <c r="A107" s="442"/>
      <c r="B107" s="73" t="s">
        <v>114</v>
      </c>
      <c r="C107" s="70" t="s">
        <v>9</v>
      </c>
      <c r="D107" s="70" t="s">
        <v>8</v>
      </c>
      <c r="E107" s="64">
        <f>19544310</f>
        <v>19544310</v>
      </c>
      <c r="F107" s="64">
        <f>E107*1.12</f>
        <v>21889627.200000003</v>
      </c>
      <c r="G107" s="441">
        <v>1418</v>
      </c>
      <c r="H107" s="437">
        <f>100</f>
        <v>100</v>
      </c>
      <c r="I107" s="117">
        <v>1372093</v>
      </c>
      <c r="J107" s="117">
        <f>I107*1.12</f>
        <v>1536744.1600000001</v>
      </c>
      <c r="K107" s="440" t="s">
        <v>27</v>
      </c>
      <c r="L107" s="73" t="s">
        <v>121</v>
      </c>
      <c r="M107" s="439" t="s">
        <v>13</v>
      </c>
      <c r="N107" s="451">
        <f>P107</f>
        <v>6860467000</v>
      </c>
      <c r="O107" s="332">
        <f>N107*1.12</f>
        <v>7683723040.000001</v>
      </c>
      <c r="P107" s="451">
        <f>6860467000</f>
        <v>6860467000</v>
      </c>
      <c r="Q107" s="332">
        <f>P107*1.12</f>
        <v>7683723040.000001</v>
      </c>
      <c r="R107" s="452" t="s">
        <v>120</v>
      </c>
      <c r="S107" s="437">
        <f>500</f>
        <v>500</v>
      </c>
      <c r="T107" s="117">
        <f>ROUND(13720.934*V107,0)+1</f>
        <v>2675583</v>
      </c>
      <c r="U107" s="117">
        <f>T107*1.12</f>
        <v>2996652.9600000004</v>
      </c>
      <c r="V107" s="117">
        <v>195</v>
      </c>
      <c r="W107" s="117">
        <f>ROUND(13720.934*Y107,0)</f>
        <v>2771629</v>
      </c>
      <c r="X107" s="117">
        <f>W107*1.12</f>
        <v>3104224.4800000004</v>
      </c>
      <c r="Y107" s="117">
        <v>202</v>
      </c>
      <c r="Z107" s="117"/>
      <c r="AA107" s="117"/>
      <c r="AB107" s="117"/>
      <c r="AC107" s="117">
        <f>ROUND(13720.934*AE107,0)-2591</f>
        <v>38572</v>
      </c>
      <c r="AD107" s="117">
        <f>AC107*1.12</f>
        <v>43200.640000000007</v>
      </c>
      <c r="AE107" s="117">
        <f>3</f>
        <v>3</v>
      </c>
      <c r="AF107" s="117">
        <f>Z107+AC107+W107+T107</f>
        <v>5485784</v>
      </c>
      <c r="AG107" s="117">
        <f>AA107+AD107+X107+U107</f>
        <v>6144078.080000001</v>
      </c>
      <c r="AH107" s="117">
        <f>AB107+AE107+Y107+V107</f>
        <v>400</v>
      </c>
      <c r="AI107" s="117">
        <v>1372093</v>
      </c>
      <c r="AJ107" s="117">
        <f>AI107*1.12</f>
        <v>1536744.1600000001</v>
      </c>
      <c r="AK107" s="117">
        <v>100</v>
      </c>
      <c r="AL107" s="117">
        <f>ROUND(4*13720.934,0)-1-891+1</f>
        <v>53993</v>
      </c>
      <c r="AM107" s="64">
        <f>AL107*1.12</f>
        <v>60472.160000000003</v>
      </c>
      <c r="AN107" s="117">
        <v>4</v>
      </c>
      <c r="AO107" s="64">
        <f>AL107-AI107</f>
        <v>-1318100</v>
      </c>
      <c r="AP107" s="64">
        <f>AM107-AJ107</f>
        <v>-1476272.0000000002</v>
      </c>
      <c r="AQ107" s="64">
        <f>AN107-AK107</f>
        <v>-96</v>
      </c>
      <c r="AR107" s="43">
        <f>IF(AI107=0,"",AL107/AI107)</f>
        <v>3.935083117543782E-2</v>
      </c>
      <c r="AS107" s="115"/>
      <c r="AT107" s="115"/>
      <c r="AU107" s="115"/>
      <c r="AV107" s="64">
        <f>ROUND(13720.934*AX107,0)</f>
        <v>1372093</v>
      </c>
      <c r="AW107" s="64">
        <f>AV107*1.12</f>
        <v>1536744.1600000001</v>
      </c>
      <c r="AX107" s="64">
        <v>100</v>
      </c>
      <c r="AY107" s="64"/>
      <c r="AZ107" s="64"/>
      <c r="BA107" s="64"/>
      <c r="BB107" s="64"/>
      <c r="BC107" s="64">
        <f>AL107-AI107</f>
        <v>-1318100</v>
      </c>
      <c r="BD107" s="64"/>
      <c r="BE107" s="64"/>
      <c r="BF107" s="64"/>
      <c r="BG107" s="64"/>
      <c r="BH107" s="64"/>
      <c r="BI107" s="64"/>
      <c r="BJ107" s="64"/>
      <c r="BK107" s="64"/>
      <c r="BL107" s="64"/>
      <c r="BM107" s="61" t="s">
        <v>117</v>
      </c>
      <c r="BN107" s="138"/>
      <c r="BO107" s="138"/>
      <c r="BP107" s="138"/>
      <c r="BQ107" s="138"/>
      <c r="BR107" s="138"/>
      <c r="BS107" s="138"/>
      <c r="BT107" s="138"/>
      <c r="BW107" s="329"/>
      <c r="BX107" s="328"/>
    </row>
    <row r="108" spans="1:76" s="327" customFormat="1" x14ac:dyDescent="0.25">
      <c r="A108" s="436"/>
      <c r="B108" s="191"/>
      <c r="C108" s="70" t="s">
        <v>6</v>
      </c>
      <c r="D108" s="70" t="s">
        <v>26</v>
      </c>
      <c r="E108" s="64">
        <f>19544310</f>
        <v>19544310</v>
      </c>
      <c r="F108" s="64">
        <f>E108*1.12</f>
        <v>21889627.200000003</v>
      </c>
      <c r="G108" s="435"/>
      <c r="H108" s="431"/>
      <c r="I108" s="117"/>
      <c r="J108" s="117">
        <f>I108*1.12</f>
        <v>0</v>
      </c>
      <c r="K108" s="434"/>
      <c r="L108" s="191"/>
      <c r="M108" s="433"/>
      <c r="N108" s="451">
        <f>P108</f>
        <v>6860467000</v>
      </c>
      <c r="O108" s="332">
        <f>N108*1.12</f>
        <v>7683723040.000001</v>
      </c>
      <c r="P108" s="451">
        <f>P107</f>
        <v>6860467000</v>
      </c>
      <c r="Q108" s="332">
        <f>P108*1.12</f>
        <v>7683723040.000001</v>
      </c>
      <c r="R108" s="450"/>
      <c r="S108" s="431"/>
      <c r="T108" s="117">
        <f>4434006/1.12</f>
        <v>3958933.9285714282</v>
      </c>
      <c r="U108" s="117">
        <f>T108*1.12</f>
        <v>4434006</v>
      </c>
      <c r="V108" s="117"/>
      <c r="W108" s="117">
        <f>3248598.785/1.12</f>
        <v>2900534.6294642854</v>
      </c>
      <c r="X108" s="117">
        <f>W108*1.12</f>
        <v>3248598.7850000001</v>
      </c>
      <c r="Y108" s="117"/>
      <c r="Z108" s="117"/>
      <c r="AA108" s="117"/>
      <c r="AB108" s="117"/>
      <c r="AC108" s="117"/>
      <c r="AD108" s="117"/>
      <c r="AE108" s="117"/>
      <c r="AF108" s="117">
        <f>Z108+AC108+W108+T108</f>
        <v>6859468.5580357136</v>
      </c>
      <c r="AG108" s="117">
        <f>AA108+AD108+X108+U108</f>
        <v>7682604.7850000001</v>
      </c>
      <c r="AH108" s="117">
        <f>AB108+AE108+Y108+V108</f>
        <v>0</v>
      </c>
      <c r="AI108" s="117"/>
      <c r="AJ108" s="117"/>
      <c r="AK108" s="117"/>
      <c r="AL108" s="117"/>
      <c r="AM108" s="64"/>
      <c r="AN108" s="117"/>
      <c r="AO108" s="64">
        <f>AL108-AI108</f>
        <v>0</v>
      </c>
      <c r="AP108" s="64">
        <f>AM108-AJ108</f>
        <v>0</v>
      </c>
      <c r="AQ108" s="64">
        <f>AN108-AK108</f>
        <v>0</v>
      </c>
      <c r="AR108" s="43" t="str">
        <f>IF(AI108=0,"",AL108/AI108)</f>
        <v/>
      </c>
      <c r="AS108" s="115"/>
      <c r="AT108" s="115"/>
      <c r="AU108" s="115"/>
      <c r="AV108" s="64"/>
      <c r="AW108" s="64">
        <f>AV108*1.12</f>
        <v>0</v>
      </c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4"/>
      <c r="BK108" s="64"/>
      <c r="BL108" s="64"/>
      <c r="BM108" s="428"/>
      <c r="BN108" s="138"/>
      <c r="BO108" s="138"/>
      <c r="BP108" s="138"/>
      <c r="BQ108" s="138"/>
      <c r="BR108" s="138"/>
      <c r="BS108" s="138"/>
      <c r="BT108" s="138"/>
      <c r="BW108" s="329"/>
      <c r="BX108" s="328"/>
    </row>
    <row r="109" spans="1:76" s="320" customFormat="1" x14ac:dyDescent="0.25">
      <c r="A109" s="427"/>
      <c r="B109" s="56"/>
      <c r="C109" s="53" t="s">
        <v>6</v>
      </c>
      <c r="D109" s="53" t="s">
        <v>5</v>
      </c>
      <c r="E109" s="44">
        <f>E108</f>
        <v>19544310</v>
      </c>
      <c r="F109" s="44">
        <f>E109*1.12</f>
        <v>21889627.200000003</v>
      </c>
      <c r="G109" s="426"/>
      <c r="H109" s="422"/>
      <c r="I109" s="103">
        <f>I108</f>
        <v>0</v>
      </c>
      <c r="J109" s="117">
        <f>I109*1.12</f>
        <v>0</v>
      </c>
      <c r="K109" s="425"/>
      <c r="L109" s="56"/>
      <c r="M109" s="424"/>
      <c r="N109" s="449">
        <f>P109</f>
        <v>6860467000</v>
      </c>
      <c r="O109" s="325">
        <f>N109*1.12</f>
        <v>7683723040.000001</v>
      </c>
      <c r="P109" s="449">
        <f>P108</f>
        <v>6860467000</v>
      </c>
      <c r="Q109" s="325">
        <f>P109*1.12</f>
        <v>7683723040.000001</v>
      </c>
      <c r="R109" s="448"/>
      <c r="S109" s="422"/>
      <c r="T109" s="103">
        <f>T108</f>
        <v>3958933.9285714282</v>
      </c>
      <c r="U109" s="103">
        <f>T109*1.12</f>
        <v>4434006</v>
      </c>
      <c r="V109" s="103"/>
      <c r="W109" s="103">
        <f>W108</f>
        <v>2900534.6294642854</v>
      </c>
      <c r="X109" s="103">
        <f>W109*1.12</f>
        <v>3248598.7850000001</v>
      </c>
      <c r="Y109" s="103"/>
      <c r="Z109" s="103"/>
      <c r="AA109" s="103"/>
      <c r="AB109" s="103"/>
      <c r="AC109" s="103"/>
      <c r="AD109" s="103"/>
      <c r="AE109" s="103"/>
      <c r="AF109" s="103">
        <f>Z109+AC109+W109+T109</f>
        <v>6859468.5580357136</v>
      </c>
      <c r="AG109" s="103">
        <f>AA109+AD109+X109+U109</f>
        <v>7682604.7850000001</v>
      </c>
      <c r="AH109" s="103">
        <f>AB109+AE109+Y109+V109</f>
        <v>0</v>
      </c>
      <c r="AI109" s="103"/>
      <c r="AJ109" s="103"/>
      <c r="AK109" s="103"/>
      <c r="AL109" s="103"/>
      <c r="AM109" s="44"/>
      <c r="AN109" s="103"/>
      <c r="AO109" s="44">
        <f>AL109-AI109</f>
        <v>0</v>
      </c>
      <c r="AP109" s="44">
        <f>AM109-AJ109</f>
        <v>0</v>
      </c>
      <c r="AQ109" s="44">
        <f>AN109-AK109</f>
        <v>0</v>
      </c>
      <c r="AR109" s="324" t="str">
        <f>IF(AI109=0,"",AL109/AI109)</f>
        <v/>
      </c>
      <c r="AS109" s="101"/>
      <c r="AT109" s="101"/>
      <c r="AU109" s="101"/>
      <c r="AV109" s="44">
        <f>AV108</f>
        <v>0</v>
      </c>
      <c r="AW109" s="44">
        <f>AV109*1.12</f>
        <v>0</v>
      </c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0"/>
      <c r="BN109" s="131"/>
      <c r="BO109" s="131"/>
      <c r="BP109" s="131"/>
      <c r="BQ109" s="131"/>
      <c r="BR109" s="131"/>
      <c r="BS109" s="131"/>
      <c r="BT109" s="131"/>
      <c r="BW109" s="322"/>
      <c r="BX109" s="321"/>
    </row>
    <row r="110" spans="1:76" s="327" customFormat="1" hidden="1" outlineLevel="1" x14ac:dyDescent="0.25">
      <c r="A110" s="442"/>
      <c r="B110" s="73" t="s">
        <v>114</v>
      </c>
      <c r="C110" s="70" t="s">
        <v>9</v>
      </c>
      <c r="D110" s="70" t="s">
        <v>8</v>
      </c>
      <c r="E110" s="64">
        <f>798750-798750</f>
        <v>0</v>
      </c>
      <c r="F110" s="64">
        <f>E110*1.12</f>
        <v>0</v>
      </c>
      <c r="G110" s="441">
        <v>1517</v>
      </c>
      <c r="H110" s="437">
        <f>71-71</f>
        <v>0</v>
      </c>
      <c r="I110" s="117"/>
      <c r="J110" s="117">
        <f>I110*1.12</f>
        <v>0</v>
      </c>
      <c r="K110" s="440" t="s">
        <v>27</v>
      </c>
      <c r="L110" s="73" t="s">
        <v>119</v>
      </c>
      <c r="M110" s="439" t="s">
        <v>13</v>
      </c>
      <c r="N110" s="332"/>
      <c r="O110" s="332">
        <f>N110*1.12</f>
        <v>0</v>
      </c>
      <c r="P110" s="332">
        <f>N110</f>
        <v>0</v>
      </c>
      <c r="Q110" s="332">
        <f>P110*1.12</f>
        <v>0</v>
      </c>
      <c r="R110" s="447" t="s">
        <v>118</v>
      </c>
      <c r="S110" s="437">
        <f>71-71</f>
        <v>0</v>
      </c>
      <c r="T110" s="117"/>
      <c r="U110" s="117"/>
      <c r="V110" s="117"/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17">
        <f>Z110+AC110+W110+T110</f>
        <v>0</v>
      </c>
      <c r="AG110" s="117">
        <f>AA110+AD110+X110+U110</f>
        <v>0</v>
      </c>
      <c r="AH110" s="117">
        <f>AB110+AE110+Y110+V110</f>
        <v>0</v>
      </c>
      <c r="AI110" s="117"/>
      <c r="AJ110" s="117"/>
      <c r="AK110" s="117"/>
      <c r="AL110" s="117"/>
      <c r="AM110" s="64">
        <f>AL110*1.12</f>
        <v>0</v>
      </c>
      <c r="AN110" s="117"/>
      <c r="AO110" s="64">
        <f>AL110-AI110</f>
        <v>0</v>
      </c>
      <c r="AP110" s="446">
        <f>AM110-AJ110</f>
        <v>0</v>
      </c>
      <c r="AQ110" s="64">
        <f>AN110-AK110</f>
        <v>0</v>
      </c>
      <c r="AR110" s="43" t="str">
        <f>IF(AI110=0,"",AL110/AI110)</f>
        <v/>
      </c>
      <c r="AS110" s="115"/>
      <c r="AT110" s="115"/>
      <c r="AU110" s="115"/>
      <c r="AV110" s="64"/>
      <c r="AW110" s="64">
        <f>AV110*1.12</f>
        <v>0</v>
      </c>
      <c r="AX110" s="64"/>
      <c r="AY110" s="64"/>
      <c r="AZ110" s="64"/>
      <c r="BA110" s="64"/>
      <c r="BB110" s="64"/>
      <c r="BC110" s="64">
        <f>AL110-AI110</f>
        <v>0</v>
      </c>
      <c r="BD110" s="64"/>
      <c r="BE110" s="64"/>
      <c r="BF110" s="64"/>
      <c r="BG110" s="64"/>
      <c r="BH110" s="64"/>
      <c r="BI110" s="64"/>
      <c r="BJ110" s="64"/>
      <c r="BK110" s="64"/>
      <c r="BL110" s="64"/>
      <c r="BM110" s="138" t="s">
        <v>117</v>
      </c>
      <c r="BN110" s="138"/>
      <c r="BO110" s="138"/>
      <c r="BP110" s="138"/>
      <c r="BQ110" s="138"/>
      <c r="BR110" s="138"/>
      <c r="BS110" s="138"/>
      <c r="BT110" s="138"/>
      <c r="BW110" s="329"/>
      <c r="BX110" s="328"/>
    </row>
    <row r="111" spans="1:76" s="327" customFormat="1" hidden="1" outlineLevel="1" x14ac:dyDescent="0.25">
      <c r="A111" s="436"/>
      <c r="B111" s="191"/>
      <c r="C111" s="70" t="s">
        <v>6</v>
      </c>
      <c r="D111" s="70" t="s">
        <v>26</v>
      </c>
      <c r="E111" s="64">
        <f>798750-798750</f>
        <v>0</v>
      </c>
      <c r="F111" s="64">
        <f>E111*1.12</f>
        <v>0</v>
      </c>
      <c r="G111" s="435"/>
      <c r="H111" s="431"/>
      <c r="I111" s="117"/>
      <c r="J111" s="117">
        <f>I111*1.12</f>
        <v>0</v>
      </c>
      <c r="K111" s="434"/>
      <c r="L111" s="191"/>
      <c r="M111" s="433"/>
      <c r="N111" s="332">
        <f>N110</f>
        <v>0</v>
      </c>
      <c r="O111" s="332">
        <f>N111*1.12</f>
        <v>0</v>
      </c>
      <c r="P111" s="332">
        <f>P110</f>
        <v>0</v>
      </c>
      <c r="Q111" s="332">
        <f>P111*1.12</f>
        <v>0</v>
      </c>
      <c r="R111" s="445"/>
      <c r="S111" s="431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>
        <f>Z111+AC111+W111+T111</f>
        <v>0</v>
      </c>
      <c r="AG111" s="117">
        <f>AA111+AD111+X111+U111</f>
        <v>0</v>
      </c>
      <c r="AH111" s="117">
        <f>AB111+AE111+Y111+V111</f>
        <v>0</v>
      </c>
      <c r="AI111" s="117"/>
      <c r="AJ111" s="117"/>
      <c r="AK111" s="117"/>
      <c r="AL111" s="117"/>
      <c r="AM111" s="64"/>
      <c r="AN111" s="117"/>
      <c r="AO111" s="64">
        <f>AL111-AI111</f>
        <v>0</v>
      </c>
      <c r="AP111" s="64">
        <f>AM111-AJ111</f>
        <v>0</v>
      </c>
      <c r="AQ111" s="64">
        <f>AN111-AK111</f>
        <v>0</v>
      </c>
      <c r="AR111" s="43" t="str">
        <f>IF(AI111=0,"",AL111/AI111)</f>
        <v/>
      </c>
      <c r="AS111" s="115"/>
      <c r="AT111" s="115"/>
      <c r="AU111" s="115"/>
      <c r="AV111" s="64"/>
      <c r="AW111" s="64">
        <f>AV111*1.12</f>
        <v>0</v>
      </c>
      <c r="AX111" s="64"/>
      <c r="AY111" s="64"/>
      <c r="AZ111" s="64"/>
      <c r="BA111" s="64"/>
      <c r="BB111" s="64"/>
      <c r="BC111" s="64"/>
      <c r="BD111" s="64"/>
      <c r="BE111" s="64"/>
      <c r="BF111" s="64"/>
      <c r="BG111" s="64"/>
      <c r="BH111" s="64"/>
      <c r="BI111" s="64"/>
      <c r="BJ111" s="64"/>
      <c r="BK111" s="64"/>
      <c r="BL111" s="64"/>
      <c r="BM111" s="138"/>
      <c r="BN111" s="138"/>
      <c r="BO111" s="138"/>
      <c r="BP111" s="138"/>
      <c r="BQ111" s="138"/>
      <c r="BR111" s="138"/>
      <c r="BS111" s="138"/>
      <c r="BT111" s="138"/>
      <c r="BW111" s="329"/>
      <c r="BX111" s="328"/>
    </row>
    <row r="112" spans="1:76" s="320" customFormat="1" hidden="1" outlineLevel="1" x14ac:dyDescent="0.25">
      <c r="A112" s="427"/>
      <c r="B112" s="56"/>
      <c r="C112" s="53" t="s">
        <v>6</v>
      </c>
      <c r="D112" s="53" t="s">
        <v>5</v>
      </c>
      <c r="E112" s="44">
        <f>E111</f>
        <v>0</v>
      </c>
      <c r="F112" s="44">
        <f>E112*1.12</f>
        <v>0</v>
      </c>
      <c r="G112" s="426"/>
      <c r="H112" s="422"/>
      <c r="I112" s="103">
        <f>I111</f>
        <v>0</v>
      </c>
      <c r="J112" s="117">
        <f>I112*1.12</f>
        <v>0</v>
      </c>
      <c r="K112" s="425"/>
      <c r="L112" s="56"/>
      <c r="M112" s="424"/>
      <c r="N112" s="325">
        <f>N111</f>
        <v>0</v>
      </c>
      <c r="O112" s="325">
        <f>N112*1.12</f>
        <v>0</v>
      </c>
      <c r="P112" s="325">
        <f>P111</f>
        <v>0</v>
      </c>
      <c r="Q112" s="325">
        <f>P112*1.12</f>
        <v>0</v>
      </c>
      <c r="R112" s="444"/>
      <c r="S112" s="422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17">
        <f>Z112+AC112+W112+T112</f>
        <v>0</v>
      </c>
      <c r="AG112" s="117">
        <f>AA112+AD112+X112+U112</f>
        <v>0</v>
      </c>
      <c r="AH112" s="117">
        <f>AB112+AE112+Y112+V112</f>
        <v>0</v>
      </c>
      <c r="AI112" s="103"/>
      <c r="AJ112" s="103"/>
      <c r="AK112" s="103"/>
      <c r="AL112" s="103"/>
      <c r="AM112" s="44"/>
      <c r="AN112" s="103"/>
      <c r="AO112" s="44">
        <f>AL112-AI112</f>
        <v>0</v>
      </c>
      <c r="AP112" s="44">
        <f>AM112-AJ112</f>
        <v>0</v>
      </c>
      <c r="AQ112" s="44">
        <f>AN112-AK112</f>
        <v>0</v>
      </c>
      <c r="AR112" s="324" t="str">
        <f>IF(AI112=0,"",AL112/AI112)</f>
        <v/>
      </c>
      <c r="AS112" s="101"/>
      <c r="AT112" s="101"/>
      <c r="AU112" s="101"/>
      <c r="AV112" s="44"/>
      <c r="AW112" s="44">
        <f>AV112*1.12</f>
        <v>0</v>
      </c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131"/>
      <c r="BN112" s="131"/>
      <c r="BO112" s="131"/>
      <c r="BP112" s="131"/>
      <c r="BQ112" s="131"/>
      <c r="BR112" s="131"/>
      <c r="BS112" s="131"/>
      <c r="BT112" s="131"/>
      <c r="BW112" s="322"/>
      <c r="BX112" s="321"/>
    </row>
    <row r="113" spans="1:76" s="327" customFormat="1" collapsed="1" x14ac:dyDescent="0.25">
      <c r="A113" s="442"/>
      <c r="B113" s="73" t="s">
        <v>114</v>
      </c>
      <c r="C113" s="70" t="s">
        <v>9</v>
      </c>
      <c r="D113" s="70" t="s">
        <v>8</v>
      </c>
      <c r="E113" s="64">
        <v>13461570</v>
      </c>
      <c r="F113" s="64">
        <f>E113*1.12</f>
        <v>15076958.400000002</v>
      </c>
      <c r="G113" s="441">
        <v>1719</v>
      </c>
      <c r="H113" s="437">
        <f>830+89-260</f>
        <v>659</v>
      </c>
      <c r="I113" s="117">
        <v>8871175</v>
      </c>
      <c r="J113" s="117">
        <f>I113*1.12</f>
        <v>9935716.0000000019</v>
      </c>
      <c r="K113" s="440" t="s">
        <v>113</v>
      </c>
      <c r="L113" s="73" t="s">
        <v>116</v>
      </c>
      <c r="M113" s="439" t="s">
        <v>13</v>
      </c>
      <c r="N113" s="332">
        <f>O113/1.12</f>
        <v>13461569580.357141</v>
      </c>
      <c r="O113" s="332">
        <v>15076957930</v>
      </c>
      <c r="P113" s="332">
        <f>Q113/1.12</f>
        <v>13461569580.357141</v>
      </c>
      <c r="Q113" s="332">
        <v>15076957930</v>
      </c>
      <c r="R113" s="438" t="s">
        <v>32</v>
      </c>
      <c r="S113" s="437">
        <v>1000</v>
      </c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>
        <f>ROUND(13461.56958*AE113,0)-142275</f>
        <v>948112</v>
      </c>
      <c r="AD113" s="117">
        <f>AC113*1.12</f>
        <v>1061885.4400000002</v>
      </c>
      <c r="AE113" s="117">
        <v>81</v>
      </c>
      <c r="AF113" s="117">
        <f>Z113+AC113+W113+T113</f>
        <v>948112</v>
      </c>
      <c r="AG113" s="117">
        <f>AA113+AD113+X113+U113</f>
        <v>1061885.4400000002</v>
      </c>
      <c r="AH113" s="117">
        <f>AB113+AE113+Y113+V113</f>
        <v>81</v>
      </c>
      <c r="AI113" s="117">
        <f>1601926+673079+538463+538463+1198080+1265388+3055776</f>
        <v>8871175</v>
      </c>
      <c r="AJ113" s="117">
        <f>AI113*1.12</f>
        <v>9935716.0000000019</v>
      </c>
      <c r="AK113" s="117">
        <f>119+50+40+40+89+94+227</f>
        <v>659</v>
      </c>
      <c r="AL113" s="128">
        <f>ROUND(13466.28113*34,0)+(142656)+ROUND(13466.28113*85,0)+ROUND(13466.28113*40,0)+ROUND(13466.28113*40,0)+1+ROUND(13466.28113*29,0)-1</f>
        <v>3212968</v>
      </c>
      <c r="AM113" s="64">
        <f>AL113*1.12</f>
        <v>3598524.16</v>
      </c>
      <c r="AN113" s="128">
        <f>34+85+40+40+29</f>
        <v>228</v>
      </c>
      <c r="AO113" s="64">
        <f>AL113-AI113</f>
        <v>-5658207</v>
      </c>
      <c r="AP113" s="64">
        <f>AM113-AJ113</f>
        <v>-6337191.8400000017</v>
      </c>
      <c r="AQ113" s="64">
        <f>AN113-AK113</f>
        <v>-431</v>
      </c>
      <c r="AR113" s="43">
        <f>IF(AI113=0,"",AL113/AI113)</f>
        <v>0.3621806581428052</v>
      </c>
      <c r="AS113" s="115"/>
      <c r="AT113" s="115"/>
      <c r="AU113" s="115"/>
      <c r="AV113" s="64">
        <f>ROUND(13461.56958*AX113,0)</f>
        <v>12371182</v>
      </c>
      <c r="AW113" s="64">
        <f>AV113*1.12</f>
        <v>13855723.840000002</v>
      </c>
      <c r="AX113" s="64">
        <v>919</v>
      </c>
      <c r="AY113" s="64"/>
      <c r="AZ113" s="64"/>
      <c r="BA113" s="64"/>
      <c r="BB113" s="64"/>
      <c r="BC113" s="64">
        <f>AO113-BL113-BF113</f>
        <v>-5801937</v>
      </c>
      <c r="BD113" s="64"/>
      <c r="BE113" s="64"/>
      <c r="BF113" s="64"/>
      <c r="BG113" s="64"/>
      <c r="BH113" s="64"/>
      <c r="BI113" s="64"/>
      <c r="BJ113" s="64"/>
      <c r="BK113" s="64"/>
      <c r="BL113" s="64">
        <f>142657-1+ROUND(AN113*(13466.28113-13461.56958),0)</f>
        <v>143730</v>
      </c>
      <c r="BM113" s="61" t="s">
        <v>111</v>
      </c>
      <c r="BN113" s="138"/>
      <c r="BO113" s="138"/>
      <c r="BP113" s="138"/>
      <c r="BQ113" s="138"/>
      <c r="BR113" s="138"/>
      <c r="BS113" s="138"/>
      <c r="BT113" s="138"/>
      <c r="BW113" s="329"/>
      <c r="BX113" s="328"/>
    </row>
    <row r="114" spans="1:76" s="327" customFormat="1" x14ac:dyDescent="0.25">
      <c r="A114" s="436"/>
      <c r="B114" s="191"/>
      <c r="C114" s="70" t="s">
        <v>6</v>
      </c>
      <c r="D114" s="70" t="s">
        <v>26</v>
      </c>
      <c r="E114" s="64">
        <v>13461570</v>
      </c>
      <c r="F114" s="64">
        <f>E114*1.12</f>
        <v>15076958.400000002</v>
      </c>
      <c r="G114" s="435"/>
      <c r="H114" s="431"/>
      <c r="I114" s="117">
        <v>3062500</v>
      </c>
      <c r="J114" s="117">
        <f>I114*1.12</f>
        <v>3430000.0000000005</v>
      </c>
      <c r="K114" s="434"/>
      <c r="L114" s="191"/>
      <c r="M114" s="433"/>
      <c r="N114" s="332">
        <f>O114/1.12</f>
        <v>13461569580.357141</v>
      </c>
      <c r="O114" s="332">
        <f>O113</f>
        <v>15076957930</v>
      </c>
      <c r="P114" s="332">
        <f>Q114/1.12</f>
        <v>13461569580.357141</v>
      </c>
      <c r="Q114" s="332">
        <f>Q113</f>
        <v>15076957930</v>
      </c>
      <c r="R114" s="432"/>
      <c r="S114" s="431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>
        <f>8215957.93/1.12</f>
        <v>7335676.7232142845</v>
      </c>
      <c r="AD114" s="117">
        <f>AC114*1.12</f>
        <v>8215957.9299999997</v>
      </c>
      <c r="AE114" s="117"/>
      <c r="AF114" s="117">
        <f>Z114+AC114+W114+T114</f>
        <v>7335676.7232142845</v>
      </c>
      <c r="AG114" s="117">
        <f>AA114+AD114+X114+U114</f>
        <v>8215957.9299999997</v>
      </c>
      <c r="AH114" s="117">
        <f>AB114+AE114+Y114+V114</f>
        <v>0</v>
      </c>
      <c r="AI114" s="117">
        <f>3062500</f>
        <v>3062500</v>
      </c>
      <c r="AJ114" s="117">
        <f>AI114*1.12</f>
        <v>3430000.0000000005</v>
      </c>
      <c r="AK114" s="117"/>
      <c r="AL114" s="117">
        <f>3430000/1.12</f>
        <v>3062499.9999999995</v>
      </c>
      <c r="AM114" s="64">
        <f>AL114*1.12</f>
        <v>3430000</v>
      </c>
      <c r="AN114" s="117"/>
      <c r="AO114" s="64">
        <f>AL114-AI114</f>
        <v>0</v>
      </c>
      <c r="AP114" s="64">
        <f>AM114-AJ114</f>
        <v>0</v>
      </c>
      <c r="AQ114" s="64">
        <f>AN114-AK114</f>
        <v>0</v>
      </c>
      <c r="AR114" s="43">
        <f>IF(AI114=0,"",AL114/AI114)</f>
        <v>0.99999999999999989</v>
      </c>
      <c r="AS114" s="115">
        <f>AE113*13461.56958-(AF114/S113*AE113)</f>
        <v>496197.32139964297</v>
      </c>
      <c r="AT114" s="443">
        <f>AN113*13461.56958-(AF114/S113*AN113)</f>
        <v>1396703.571347143</v>
      </c>
      <c r="AU114" s="115">
        <f>AL114-AS114-AT114</f>
        <v>1169599.1072532134</v>
      </c>
      <c r="AV114" s="64">
        <f>I114</f>
        <v>3062500</v>
      </c>
      <c r="AW114" s="64">
        <f>AV114*1.12</f>
        <v>3430000.0000000005</v>
      </c>
      <c r="AX114" s="64"/>
      <c r="AY114" s="64"/>
      <c r="AZ114" s="64"/>
      <c r="BA114" s="64"/>
      <c r="BB114" s="64"/>
      <c r="BC114" s="64"/>
      <c r="BD114" s="64"/>
      <c r="BE114" s="64"/>
      <c r="BF114" s="64"/>
      <c r="BG114" s="64"/>
      <c r="BH114" s="64"/>
      <c r="BI114" s="64"/>
      <c r="BJ114" s="64"/>
      <c r="BK114" s="64"/>
      <c r="BL114" s="64"/>
      <c r="BM114" s="428"/>
      <c r="BN114" s="138"/>
      <c r="BO114" s="138"/>
      <c r="BP114" s="138"/>
      <c r="BQ114" s="138"/>
      <c r="BR114" s="138"/>
      <c r="BS114" s="138"/>
      <c r="BT114" s="138"/>
      <c r="BW114" s="329"/>
      <c r="BX114" s="328"/>
    </row>
    <row r="115" spans="1:76" s="320" customFormat="1" x14ac:dyDescent="0.25">
      <c r="A115" s="427"/>
      <c r="B115" s="56"/>
      <c r="C115" s="53" t="s">
        <v>6</v>
      </c>
      <c r="D115" s="53" t="s">
        <v>115</v>
      </c>
      <c r="E115" s="44">
        <v>13461570</v>
      </c>
      <c r="F115" s="44">
        <f>E115*1.12</f>
        <v>15076958.400000002</v>
      </c>
      <c r="G115" s="426"/>
      <c r="H115" s="422"/>
      <c r="I115" s="103">
        <f>I114</f>
        <v>3062500</v>
      </c>
      <c r="J115" s="103">
        <f>I115*1.12</f>
        <v>3430000.0000000005</v>
      </c>
      <c r="K115" s="425"/>
      <c r="L115" s="56"/>
      <c r="M115" s="424"/>
      <c r="N115" s="325">
        <f>O115/1.12</f>
        <v>13461569580.357141</v>
      </c>
      <c r="O115" s="325">
        <f>O114</f>
        <v>15076957930</v>
      </c>
      <c r="P115" s="325">
        <f>Q115/1.12</f>
        <v>13461569580.357141</v>
      </c>
      <c r="Q115" s="325">
        <f>Q114</f>
        <v>15076957930</v>
      </c>
      <c r="R115" s="423"/>
      <c r="S115" s="422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>
        <f>AC114</f>
        <v>7335676.7232142845</v>
      </c>
      <c r="AD115" s="103">
        <f>AC115*1.12</f>
        <v>8215957.9299999997</v>
      </c>
      <c r="AE115" s="103"/>
      <c r="AF115" s="103">
        <f>Z115+AC115+W115+T115</f>
        <v>7335676.7232142845</v>
      </c>
      <c r="AG115" s="103">
        <f>AA115+AD115+X115+U115</f>
        <v>8215957.9299999997</v>
      </c>
      <c r="AH115" s="103">
        <f>AB115+AE115+Y115+V115</f>
        <v>0</v>
      </c>
      <c r="AI115" s="103">
        <f>AI114</f>
        <v>3062500</v>
      </c>
      <c r="AJ115" s="103">
        <f>AI115*1.12</f>
        <v>3430000.0000000005</v>
      </c>
      <c r="AK115" s="103"/>
      <c r="AL115" s="103">
        <f>AL114</f>
        <v>3062499.9999999995</v>
      </c>
      <c r="AM115" s="44">
        <f>AL115*1.12</f>
        <v>3430000</v>
      </c>
      <c r="AN115" s="103"/>
      <c r="AO115" s="44">
        <f>AL115-AI115</f>
        <v>0</v>
      </c>
      <c r="AP115" s="44">
        <f>AM115-AJ115</f>
        <v>0</v>
      </c>
      <c r="AQ115" s="44">
        <f>AN115-AK115</f>
        <v>0</v>
      </c>
      <c r="AR115" s="324">
        <f>IF(AI115=0,"",AL115/AI115)</f>
        <v>0.99999999999999989</v>
      </c>
      <c r="AS115" s="101">
        <f>AS114</f>
        <v>496197.32139964297</v>
      </c>
      <c r="AT115" s="101">
        <f>AT114</f>
        <v>1396703.571347143</v>
      </c>
      <c r="AU115" s="101">
        <f>AU114</f>
        <v>1169599.1072532134</v>
      </c>
      <c r="AV115" s="44">
        <f>AV114</f>
        <v>3062500</v>
      </c>
      <c r="AW115" s="44">
        <f>AV115*1.12</f>
        <v>3430000.0000000005</v>
      </c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0"/>
      <c r="BN115" s="131"/>
      <c r="BO115" s="131"/>
      <c r="BP115" s="131"/>
      <c r="BQ115" s="131"/>
      <c r="BR115" s="131"/>
      <c r="BS115" s="131"/>
      <c r="BT115" s="131"/>
      <c r="BW115" s="322"/>
      <c r="BX115" s="321"/>
    </row>
    <row r="116" spans="1:76" s="327" customFormat="1" ht="21.75" customHeight="1" x14ac:dyDescent="0.25">
      <c r="A116" s="442"/>
      <c r="B116" s="73" t="s">
        <v>114</v>
      </c>
      <c r="C116" s="70" t="s">
        <v>9</v>
      </c>
      <c r="D116" s="70" t="s">
        <v>8</v>
      </c>
      <c r="E116" s="64">
        <v>15300000</v>
      </c>
      <c r="F116" s="64">
        <f>E116*1.12</f>
        <v>17136000</v>
      </c>
      <c r="G116" s="441">
        <v>1819</v>
      </c>
      <c r="H116" s="437">
        <f>1000-500</f>
        <v>500</v>
      </c>
      <c r="I116" s="117">
        <v>7650000</v>
      </c>
      <c r="J116" s="117">
        <f>I116*1.12</f>
        <v>8568000</v>
      </c>
      <c r="K116" s="440" t="s">
        <v>113</v>
      </c>
      <c r="L116" s="73" t="s">
        <v>112</v>
      </c>
      <c r="M116" s="439" t="s">
        <v>13</v>
      </c>
      <c r="N116" s="332">
        <f>O116/1.12</f>
        <v>7649999999.999999</v>
      </c>
      <c r="O116" s="332">
        <f>Q116</f>
        <v>8568000000</v>
      </c>
      <c r="P116" s="332">
        <f>Q116/1.12</f>
        <v>7649999999.999999</v>
      </c>
      <c r="Q116" s="332">
        <f>17136000000-8568000000</f>
        <v>8568000000</v>
      </c>
      <c r="R116" s="438" t="s">
        <v>32</v>
      </c>
      <c r="S116" s="437">
        <f>1000-500</f>
        <v>500</v>
      </c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>
        <f>Z116+AC116+W116+T116</f>
        <v>0</v>
      </c>
      <c r="AG116" s="117">
        <f>AA116+AD116+X116+U116</f>
        <v>0</v>
      </c>
      <c r="AH116" s="117">
        <f>AB116+AE116+Y116+V116</f>
        <v>0</v>
      </c>
      <c r="AI116" s="117">
        <f>306000+459000+306000+948600+2907000+2723400</f>
        <v>7650000</v>
      </c>
      <c r="AJ116" s="117">
        <f>AI116*1.12</f>
        <v>8568000</v>
      </c>
      <c r="AK116" s="117">
        <f>20+30+20+62+190+178</f>
        <v>500</v>
      </c>
      <c r="AL116" s="117">
        <f>ROUND(20*15300,0)+ROUND(30*15300,0)+ROUND(20*15300,0)+ROUND(50*15300,0)+ROUND(50*15300,0)</f>
        <v>2601000</v>
      </c>
      <c r="AM116" s="64">
        <f>AL116*1.12</f>
        <v>2913120.0000000005</v>
      </c>
      <c r="AN116" s="117">
        <f>20+30+20+50+50</f>
        <v>170</v>
      </c>
      <c r="AO116" s="64">
        <f>AL116-AI116</f>
        <v>-5049000</v>
      </c>
      <c r="AP116" s="64">
        <f>AM116-AJ116</f>
        <v>-5654880</v>
      </c>
      <c r="AQ116" s="64">
        <f>AN116-AK116</f>
        <v>-330</v>
      </c>
      <c r="AR116" s="43">
        <f>IF(AI116=0,"",AL116/AI116)</f>
        <v>0.34</v>
      </c>
      <c r="AS116" s="115"/>
      <c r="AT116" s="115"/>
      <c r="AU116" s="115"/>
      <c r="AV116" s="64">
        <f>ROUND(15300*AX116,0)</f>
        <v>13448700</v>
      </c>
      <c r="AW116" s="64">
        <f>AV116*1.12</f>
        <v>15062544.000000002</v>
      </c>
      <c r="AX116" s="64">
        <v>879</v>
      </c>
      <c r="AY116" s="64"/>
      <c r="AZ116" s="64"/>
      <c r="BA116" s="64"/>
      <c r="BB116" s="64"/>
      <c r="BC116" s="64">
        <f>AO116-BL116</f>
        <v>-5049000</v>
      </c>
      <c r="BD116" s="64"/>
      <c r="BE116" s="64"/>
      <c r="BF116" s="64"/>
      <c r="BG116" s="64"/>
      <c r="BH116" s="64"/>
      <c r="BI116" s="64"/>
      <c r="BJ116" s="64"/>
      <c r="BK116" s="64"/>
      <c r="BL116" s="64">
        <f>AL116-(P116/1000/S116*AN116)</f>
        <v>0</v>
      </c>
      <c r="BM116" s="61" t="s">
        <v>111</v>
      </c>
      <c r="BN116" s="138"/>
      <c r="BO116" s="138"/>
      <c r="BP116" s="138"/>
      <c r="BQ116" s="138"/>
      <c r="BR116" s="138"/>
      <c r="BS116" s="138"/>
      <c r="BT116" s="138"/>
      <c r="BW116" s="329"/>
      <c r="BX116" s="328"/>
    </row>
    <row r="117" spans="1:76" s="327" customFormat="1" ht="21.75" customHeight="1" x14ac:dyDescent="0.25">
      <c r="A117" s="436"/>
      <c r="B117" s="191"/>
      <c r="C117" s="70" t="s">
        <v>6</v>
      </c>
      <c r="D117" s="70" t="s">
        <v>26</v>
      </c>
      <c r="E117" s="64">
        <v>10229554</v>
      </c>
      <c r="F117" s="64">
        <f>E117*1.12</f>
        <v>11457100.48</v>
      </c>
      <c r="G117" s="435"/>
      <c r="H117" s="431"/>
      <c r="I117" s="117">
        <v>2579554</v>
      </c>
      <c r="J117" s="117">
        <f>I117*1.12</f>
        <v>2889100.4800000004</v>
      </c>
      <c r="K117" s="434"/>
      <c r="L117" s="191"/>
      <c r="M117" s="433"/>
      <c r="N117" s="332">
        <f>O117/1.12</f>
        <v>7649999999.999999</v>
      </c>
      <c r="O117" s="332">
        <f>O116</f>
        <v>8568000000</v>
      </c>
      <c r="P117" s="332">
        <f>Q117/1.12</f>
        <v>7649999999.999999</v>
      </c>
      <c r="Q117" s="332">
        <f>Q116</f>
        <v>8568000000</v>
      </c>
      <c r="R117" s="432"/>
      <c r="S117" s="431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>
        <f>Z117+AC117+W117+T117</f>
        <v>0</v>
      </c>
      <c r="AG117" s="117">
        <f>AA117+AD117+X117+U117</f>
        <v>0</v>
      </c>
      <c r="AH117" s="117">
        <f>AB117+AE117+Y117+V117</f>
        <v>0</v>
      </c>
      <c r="AI117" s="117">
        <v>2579554</v>
      </c>
      <c r="AJ117" s="117">
        <f>AI117*1.12</f>
        <v>2889100.4800000004</v>
      </c>
      <c r="AK117" s="117"/>
      <c r="AL117" s="117">
        <f>1370000/1.12+1519099.9607/1.12</f>
        <v>2579553.5363392858</v>
      </c>
      <c r="AM117" s="430">
        <f>AL117*1.12</f>
        <v>2889099.9607000002</v>
      </c>
      <c r="AN117" s="117"/>
      <c r="AO117" s="64">
        <f>AL117-AI117</f>
        <v>-0.46366071421653032</v>
      </c>
      <c r="AP117" s="64">
        <f>AM117-AJ117</f>
        <v>-0.51930000027641654</v>
      </c>
      <c r="AQ117" s="64">
        <f>AN117-AK117</f>
        <v>0</v>
      </c>
      <c r="AR117" s="43">
        <f>IF(AI117=0,"",AL117/AI117)</f>
        <v>0.99999982025547274</v>
      </c>
      <c r="AS117" s="115"/>
      <c r="AT117" s="115"/>
      <c r="AU117" s="115">
        <f>AL117</f>
        <v>2579553.5363392858</v>
      </c>
      <c r="AV117" s="429">
        <f>(1370000/1.12+1519099.9607/1.12)+AV116*50%/12*10.5</f>
        <v>8463359.7863392867</v>
      </c>
      <c r="AW117" s="64">
        <f>AV117*1.12</f>
        <v>9478962.9607000016</v>
      </c>
      <c r="AX117" s="64"/>
      <c r="AY117" s="64"/>
      <c r="AZ117" s="64"/>
      <c r="BA117" s="64"/>
      <c r="BB117" s="64"/>
      <c r="BC117" s="64"/>
      <c r="BD117" s="64"/>
      <c r="BE117" s="64"/>
      <c r="BF117" s="64"/>
      <c r="BG117" s="64"/>
      <c r="BH117" s="64"/>
      <c r="BI117" s="64"/>
      <c r="BJ117" s="64"/>
      <c r="BK117" s="64"/>
      <c r="BL117" s="64"/>
      <c r="BM117" s="428"/>
      <c r="BN117" s="138"/>
      <c r="BO117" s="138"/>
      <c r="BP117" s="138">
        <f>BP118</f>
        <v>5678900.0392899998</v>
      </c>
      <c r="BQ117" s="138"/>
      <c r="BR117" s="138"/>
      <c r="BS117" s="138"/>
      <c r="BT117" s="138"/>
      <c r="BW117" s="329"/>
      <c r="BX117" s="328"/>
    </row>
    <row r="118" spans="1:76" s="320" customFormat="1" ht="21.75" customHeight="1" x14ac:dyDescent="0.25">
      <c r="A118" s="427"/>
      <c r="B118" s="56"/>
      <c r="C118" s="53" t="s">
        <v>6</v>
      </c>
      <c r="D118" s="53" t="s">
        <v>5</v>
      </c>
      <c r="E118" s="44">
        <f>E117</f>
        <v>10229554</v>
      </c>
      <c r="F118" s="44">
        <f>E118*1.12</f>
        <v>11457100.48</v>
      </c>
      <c r="G118" s="426"/>
      <c r="H118" s="422"/>
      <c r="I118" s="103">
        <f>I117</f>
        <v>2579554</v>
      </c>
      <c r="J118" s="103">
        <f>I118*1.12</f>
        <v>2889100.4800000004</v>
      </c>
      <c r="K118" s="425"/>
      <c r="L118" s="56"/>
      <c r="M118" s="424"/>
      <c r="N118" s="325">
        <f>O118/1.12</f>
        <v>7649999999.999999</v>
      </c>
      <c r="O118" s="325">
        <f>O117</f>
        <v>8568000000</v>
      </c>
      <c r="P118" s="325">
        <f>Q118/1.12</f>
        <v>7649999999.999999</v>
      </c>
      <c r="Q118" s="325">
        <f>Q117</f>
        <v>8568000000</v>
      </c>
      <c r="R118" s="423"/>
      <c r="S118" s="422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>
        <f>Z118+AC118+W118+T118</f>
        <v>0</v>
      </c>
      <c r="AG118" s="103">
        <f>AA118+AD118+X118+U118</f>
        <v>0</v>
      </c>
      <c r="AH118" s="103">
        <f>AB118+AE118+Y118+V118</f>
        <v>0</v>
      </c>
      <c r="AI118" s="103">
        <f>AI117</f>
        <v>2579554</v>
      </c>
      <c r="AJ118" s="103">
        <f>AI118*1.12</f>
        <v>2889100.4800000004</v>
      </c>
      <c r="AK118" s="103"/>
      <c r="AL118" s="103">
        <f>AL117</f>
        <v>2579553.5363392858</v>
      </c>
      <c r="AM118" s="44">
        <f>AL118*1.12</f>
        <v>2889099.9607000002</v>
      </c>
      <c r="AN118" s="103"/>
      <c r="AO118" s="44">
        <f>AL118-AI118</f>
        <v>-0.46366071421653032</v>
      </c>
      <c r="AP118" s="44">
        <f>AM118-AJ118</f>
        <v>-0.51930000027641654</v>
      </c>
      <c r="AQ118" s="44">
        <f>AN118-AK118</f>
        <v>0</v>
      </c>
      <c r="AR118" s="324">
        <f>IF(AI118=0,"",AL118/AI118)</f>
        <v>0.99999982025547274</v>
      </c>
      <c r="AS118" s="101"/>
      <c r="AT118" s="101"/>
      <c r="AU118" s="101">
        <f>AU117</f>
        <v>2579553.5363392858</v>
      </c>
      <c r="AV118" s="44">
        <f>AV117</f>
        <v>8463359.7863392867</v>
      </c>
      <c r="AW118" s="44">
        <f>AV118*1.12</f>
        <v>9478962.9607000016</v>
      </c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0"/>
      <c r="BN118" s="131"/>
      <c r="BO118" s="131"/>
      <c r="BP118" s="421">
        <f>5678900039.29/1000</f>
        <v>5678900.0392899998</v>
      </c>
      <c r="BQ118" s="131"/>
      <c r="BR118" s="131"/>
      <c r="BS118" s="131"/>
      <c r="BT118" s="131"/>
      <c r="BW118" s="322"/>
      <c r="BX118" s="321"/>
    </row>
    <row r="119" spans="1:76" x14ac:dyDescent="0.25">
      <c r="A119" s="409">
        <v>3</v>
      </c>
      <c r="B119" s="98" t="s">
        <v>110</v>
      </c>
      <c r="C119" s="97" t="s">
        <v>9</v>
      </c>
      <c r="D119" s="97" t="s">
        <v>8</v>
      </c>
      <c r="E119" s="410">
        <f>E122+E146+E172+E215+E235+E130+E138+E192</f>
        <v>24394567</v>
      </c>
      <c r="F119" s="410">
        <f>F122+F146+F172+F215+F235+F130+F138+F192</f>
        <v>27321915.040000003</v>
      </c>
      <c r="G119" s="417"/>
      <c r="H119" s="245">
        <f>H122+H146+H172+H215+H235+H130+H138+H192</f>
        <v>5290</v>
      </c>
      <c r="I119" s="410">
        <f>I122+I146+I172+I215+I235+I130+I138+I192</f>
        <v>17083859</v>
      </c>
      <c r="J119" s="410">
        <f>J122+J146+J172+J215+J235+J130+J138+J192</f>
        <v>19133922.080000002</v>
      </c>
      <c r="K119" s="92"/>
      <c r="L119" s="416"/>
      <c r="M119" s="415"/>
      <c r="N119" s="414">
        <f>N122+N146+N172+N215+N235+N130+N138+N192</f>
        <v>15384572375.908213</v>
      </c>
      <c r="O119" s="414">
        <f>O122+O146+O172+O215+O235+O130+O138+O192</f>
        <v>17197891348.089996</v>
      </c>
      <c r="P119" s="414">
        <f>P122+P146+P172+P215+P235+P130+P138+P192</f>
        <v>16558234618.948214</v>
      </c>
      <c r="Q119" s="414">
        <f>Q122+Q146+Q172+Q215+Q235+Q130+Q138+Q192</f>
        <v>18371553591.129997</v>
      </c>
      <c r="R119" s="413"/>
      <c r="S119" s="245">
        <f>S122+S146+S172+S215+S235</f>
        <v>6867</v>
      </c>
      <c r="T119" s="410">
        <f>T122+T146+T172+T215+T235+T130+T138+T192</f>
        <v>0</v>
      </c>
      <c r="U119" s="410">
        <f>U122+U146+U172+U215+U235+U130+U138+U192</f>
        <v>0</v>
      </c>
      <c r="V119" s="410">
        <f>V122+V146+V172+V215+V235+V130+V138+V192</f>
        <v>0</v>
      </c>
      <c r="W119" s="410">
        <f>W122+W146+W172+W215+W235+W130+W138+W192</f>
        <v>0</v>
      </c>
      <c r="X119" s="410">
        <f>X122+X146+X172+X215+X235+X130+X138+X192</f>
        <v>0</v>
      </c>
      <c r="Y119" s="410">
        <f>Y122+Y146+Y172+Y215+Y235+Y130+Y138+Y192</f>
        <v>0</v>
      </c>
      <c r="Z119" s="410">
        <f>Z122+Z146+Z172+Z215+Z235+Z130+Z138+Z192</f>
        <v>0</v>
      </c>
      <c r="AA119" s="410">
        <f>AA122+AA146+AA172+AA215+AA235+AA130+AA138+AA192</f>
        <v>0</v>
      </c>
      <c r="AB119" s="410">
        <f>AB122+AB146+AB172+AB215+AB235+AB130+AB138+AB192</f>
        <v>0</v>
      </c>
      <c r="AC119" s="410">
        <f>AC122+AC146+AC172+AC215+AC235+AC130+AC138+AC192</f>
        <v>5810819</v>
      </c>
      <c r="AD119" s="410">
        <f>AD122+AD146+AD172+AD215+AD235+AD130+AD138+AD192</f>
        <v>6508117.2800000021</v>
      </c>
      <c r="AE119" s="410">
        <f>AE122+AE146+AE172+AE215+AE235+AE130+AE138+AE192</f>
        <v>2200</v>
      </c>
      <c r="AF119" s="410">
        <f>AF122+AF146+AF172+AF215+AF235+AF130+AF138+AF192</f>
        <v>5810819</v>
      </c>
      <c r="AG119" s="410">
        <f>AG122+AG146+AG172+AG215+AG235+AG130+AG138+AG192</f>
        <v>6508117.2800000021</v>
      </c>
      <c r="AH119" s="410">
        <f>AH122+AH146+AH172+AH215+AH235+AH130+AH138+AH192</f>
        <v>2200</v>
      </c>
      <c r="AI119" s="410">
        <f>AI122+AI146+AI172+AI215+AI235+AI130+AI138+AI192</f>
        <v>17083859</v>
      </c>
      <c r="AJ119" s="410">
        <f>AJ122+AJ146+AJ172+AJ215+AJ235+AJ130+AJ138+AJ192</f>
        <v>19133922.080000002</v>
      </c>
      <c r="AK119" s="410">
        <f>AK122+AK146+AK172+AK215+AK235+AK130+AK138+AK192</f>
        <v>5290</v>
      </c>
      <c r="AL119" s="410">
        <f>AL122+AL146+AL172+AL215+AL235+AL130+AL138+AL192</f>
        <v>11133658</v>
      </c>
      <c r="AM119" s="410">
        <f>AM122+AM146+AM172+AM215+AM235+AM130+AM138+AM192</f>
        <v>12469696.959999999</v>
      </c>
      <c r="AN119" s="410">
        <f>AN122+AN146+AN172+AN215+AN235+AN130+AN138+AN192</f>
        <v>5290</v>
      </c>
      <c r="AO119" s="410">
        <f>AO122+AO146+AO172+AO215+AO235+AO130+AO138+AO192</f>
        <v>-5950201.0000000019</v>
      </c>
      <c r="AP119" s="410">
        <f>AP122+AP146+AP172+AP215+AP235+AP130+AP138+AP192</f>
        <v>-6664225.120000001</v>
      </c>
      <c r="AQ119" s="410">
        <f>AQ122+AQ146+AQ172+AQ215+AQ235+AQ130+AQ138+AQ192</f>
        <v>0</v>
      </c>
      <c r="AR119" s="412">
        <f>IF(AI119=0,"",AL119/AI119)</f>
        <v>0.65170626847248037</v>
      </c>
      <c r="AS119" s="410">
        <f>AS122+AS146+AS172+AS215+AS235+AS130+AS138+AS192</f>
        <v>0</v>
      </c>
      <c r="AT119" s="410">
        <f>AT122+AT146+AT172+AT215+AT235+AT130+AT138+AT192</f>
        <v>0</v>
      </c>
      <c r="AU119" s="410">
        <f>AU122+AU146+AU172+AU215+AU235+AU130+AU138+AU192</f>
        <v>0</v>
      </c>
      <c r="AV119" s="410">
        <f>AV122+AV146+AV172+AV215+AV235+AV130+AV138+AV192</f>
        <v>14990997.584070796</v>
      </c>
      <c r="AW119" s="410">
        <f>AW122+AW146+AW172+AW215+AW235+AW130+AW138+AW192</f>
        <v>16789917.294159293</v>
      </c>
      <c r="AX119" s="410">
        <f>AX122+AX146+AX172+AX215+AX235+AX130+AX138+AX192</f>
        <v>7433</v>
      </c>
      <c r="AY119" s="410">
        <f>AY122+AY146+AY172+AY215+AY235+AY130+AY138+AY192</f>
        <v>0</v>
      </c>
      <c r="AZ119" s="410">
        <f>AZ122+AZ146+AZ172+AZ215+AZ235+AZ130+AZ138+AZ192</f>
        <v>-5950201.0000000019</v>
      </c>
      <c r="BA119" s="410">
        <f>BA122+BA146+BA172+BA215+BA235+BA130+BA138+BA192</f>
        <v>0</v>
      </c>
      <c r="BB119" s="410">
        <f>BB122+BB146+BB172+BB215+BB235+BB130+BB138+BB192</f>
        <v>0</v>
      </c>
      <c r="BC119" s="410">
        <f>BC122+BC146+BC172+BC215+BC235+BC130+BC138+BC192</f>
        <v>0</v>
      </c>
      <c r="BD119" s="410">
        <f>BD122+BD146+BD172+BD215+BD235+BD130+BD138+BD192</f>
        <v>0</v>
      </c>
      <c r="BE119" s="410">
        <f>BE122+BE146+BE172+BE215+BE235+BE130+BE138+BE192</f>
        <v>0</v>
      </c>
      <c r="BF119" s="410">
        <f>BF122+BF146+BF172+BF215+BF235+BF130+BF138+BF192</f>
        <v>0</v>
      </c>
      <c r="BG119" s="410">
        <f>BG122+BG146+BG172+BG215+BG235+BG130+BG138+BG192</f>
        <v>0</v>
      </c>
      <c r="BH119" s="410">
        <f>BH122+BH146+BH172+BH215+BH235+BH130+BH138+BH192</f>
        <v>0</v>
      </c>
      <c r="BI119" s="410">
        <f>BI122+BI146+BI172+BI215+BI235+BI130+BI138+BI192</f>
        <v>0</v>
      </c>
      <c r="BJ119" s="410">
        <f>BJ122+BJ146+BJ172+BJ215+BJ235+BJ130+BJ138+BJ192</f>
        <v>0</v>
      </c>
      <c r="BK119" s="410">
        <f>BK122+BK146+BK172+BK215+BK235+BK130+BK138+BK192</f>
        <v>0</v>
      </c>
      <c r="BL119" s="410">
        <f>BL122+BL146+BL172+BL215+BL235+BL130+BL138+BL192</f>
        <v>0</v>
      </c>
      <c r="BM119" s="420" t="s">
        <v>82</v>
      </c>
      <c r="BN119" s="89">
        <f>BN124+BN148+BN174+BN217+BN237+BN246+BN252</f>
        <v>0</v>
      </c>
      <c r="BO119" s="410">
        <f>BO122+BO146+BO172+BO215+BO235+BO130+BO138+BO192</f>
        <v>0</v>
      </c>
      <c r="BP119" s="410">
        <f>BP122+BP146+BP172+BP215+BP235+BP130+BP138+BP192</f>
        <v>0</v>
      </c>
      <c r="BQ119" s="410">
        <f>BQ122+BQ146+BQ172+BQ215+BQ235+BQ130+BQ138+BQ192</f>
        <v>0</v>
      </c>
      <c r="BR119" s="89"/>
      <c r="BS119" s="89"/>
      <c r="BT119" s="89"/>
      <c r="BW119" s="419">
        <f>SUM(AY119:BL119)</f>
        <v>-5950201.0000000019</v>
      </c>
      <c r="BX119" s="418">
        <f>AO119-BW119</f>
        <v>0</v>
      </c>
    </row>
    <row r="120" spans="1:76" x14ac:dyDescent="0.25">
      <c r="A120" s="409"/>
      <c r="B120" s="98"/>
      <c r="C120" s="97" t="s">
        <v>6</v>
      </c>
      <c r="D120" s="97" t="s">
        <v>26</v>
      </c>
      <c r="E120" s="410">
        <f>E123+E147+E173+E216+E236+E131+E139+E193</f>
        <v>24265362</v>
      </c>
      <c r="F120" s="410">
        <f>F123+F147+F173+F216+F236+F131+F139+F193</f>
        <v>27177205.440000001</v>
      </c>
      <c r="G120" s="417"/>
      <c r="H120" s="245"/>
      <c r="I120" s="410">
        <f>I123+I147+I173+I216+I236+I131+I139+I193</f>
        <v>15833244</v>
      </c>
      <c r="J120" s="410">
        <f>J123+J147+J173+J216+J236+J131+J139+J193</f>
        <v>17733233.280000001</v>
      </c>
      <c r="K120" s="92"/>
      <c r="L120" s="416"/>
      <c r="M120" s="415"/>
      <c r="N120" s="414">
        <f>N123+N147+N173+N216+N236+N131+N139+N193</f>
        <v>15384572375.908213</v>
      </c>
      <c r="O120" s="414">
        <f>O123+O147+O173+O216+O236+O131+O139+O193</f>
        <v>17197891348.089996</v>
      </c>
      <c r="P120" s="414">
        <f>P123+P147+P173+P216+P236+P131+P139+P193</f>
        <v>16558234618.948214</v>
      </c>
      <c r="Q120" s="414">
        <f>Q123+Q147+Q173+Q216+Q236+Q131+Q139+Q193</f>
        <v>18371553591.129997</v>
      </c>
      <c r="R120" s="413"/>
      <c r="S120" s="245">
        <f>S125+S149+S175+S218+S238+S247+S253</f>
        <v>0</v>
      </c>
      <c r="T120" s="410">
        <f>T123+T147+T173+T216+T236+T131+T139+T193</f>
        <v>0</v>
      </c>
      <c r="U120" s="410">
        <f>U123+U147+U173+U216+U236+U131+U139+U193</f>
        <v>0</v>
      </c>
      <c r="V120" s="410">
        <f>V123+V147+V173+V216+V236+V131+V139+V193</f>
        <v>0</v>
      </c>
      <c r="W120" s="410">
        <f>W123+W147+W173+W216+W236+W131+W139+W193</f>
        <v>0</v>
      </c>
      <c r="X120" s="410">
        <f>X123+X147+X173+X216+X236+X131+X139+X193</f>
        <v>0</v>
      </c>
      <c r="Y120" s="410">
        <f>Y123+Y147+Y173+Y216+Y236+Y131+Y139+Y193</f>
        <v>0</v>
      </c>
      <c r="Z120" s="410">
        <f>Z123+Z147+Z173+Z216+Z236+Z131+Z139+Z193</f>
        <v>0</v>
      </c>
      <c r="AA120" s="410">
        <f>AA123+AA147+AA173+AA216+AA236+AA131+AA139+AA193</f>
        <v>0</v>
      </c>
      <c r="AB120" s="410">
        <f>AB123+AB147+AB173+AB216+AB236+AB131+AB139+AB193</f>
        <v>0</v>
      </c>
      <c r="AC120" s="410">
        <f>AC123+AC147+AC173+AC216+AC236+AC131+AC139+AC193</f>
        <v>2929094.4984299992</v>
      </c>
      <c r="AD120" s="410">
        <f>AD123+AD147+AD173+AD216+AD236+AD131+AD139+AD193</f>
        <v>3280888.4660100001</v>
      </c>
      <c r="AE120" s="410">
        <f>AE123+AE147+AE173+AE216+AE236+AE131+AE139+AE193</f>
        <v>0</v>
      </c>
      <c r="AF120" s="410">
        <f>AF123+AF147+AF173+AF216+AF236+AF131+AF139+AF193</f>
        <v>2929094.4984299992</v>
      </c>
      <c r="AG120" s="410">
        <f>AG123+AG147+AG173+AG216+AG236+AG131+AG139+AG193</f>
        <v>3280888.4660100001</v>
      </c>
      <c r="AH120" s="410">
        <f>AH123+AH147+AH173+AH216+AH236+AH131+AH139+AH193</f>
        <v>0</v>
      </c>
      <c r="AI120" s="410">
        <f>AI123+AI147+AI173+AI216+AI236+AI131+AI139+AI193</f>
        <v>15833243.836241072</v>
      </c>
      <c r="AJ120" s="410">
        <f>AJ123+AJ147+AJ173+AJ216+AJ236+AJ131+AJ139+AJ193</f>
        <v>17733233.096590001</v>
      </c>
      <c r="AK120" s="410">
        <f>AK123+AK147+AK173+AK216+AK236+AK131+AK139+AK193</f>
        <v>0</v>
      </c>
      <c r="AL120" s="410">
        <f>AL123+AL147+AL173+AL216+AL236+AL131+AL139+AL193</f>
        <v>9195213.4367503561</v>
      </c>
      <c r="AM120" s="410">
        <f>AM123+AM147+AM173+AM216+AM236+AM131+AM139+AM193</f>
        <v>10119982.000880001</v>
      </c>
      <c r="AN120" s="410">
        <f>AN123+AN147+AN173+AN216+AN236+AN131+AN139+AN193</f>
        <v>0</v>
      </c>
      <c r="AO120" s="410">
        <f>AO123+AO147+AO173+AO216+AO236+AO131+AO139+AO193</f>
        <v>-6638030.3994907141</v>
      </c>
      <c r="AP120" s="410">
        <f>AP123+AP147+AP173+AP216+AP236+AP131+AP139+AP193</f>
        <v>-7613251.095710001</v>
      </c>
      <c r="AQ120" s="410">
        <f>AQ123+AQ147+AQ173+AQ216+AQ236+AQ131+AQ139+AQ193</f>
        <v>0</v>
      </c>
      <c r="AR120" s="412">
        <f>IF(AI120=0,"",AL120/AI120)</f>
        <v>0.58075360500058892</v>
      </c>
      <c r="AS120" s="410">
        <f>AS123+AS147+AS173+AS216+AS236+AS131+AS139+AS193</f>
        <v>1391923.652955357</v>
      </c>
      <c r="AT120" s="410">
        <f>AT123+AT147+AT173+AT216+AT236+AT131+AT139+AT193</f>
        <v>7803289.7837949991</v>
      </c>
      <c r="AU120" s="410">
        <f>AU123+AU147+AU173+AU216+AU236+AU131+AU139+AU193</f>
        <v>0</v>
      </c>
      <c r="AV120" s="410">
        <f>AV123+AV147+AV173+AV216+AV236+AV131+AV139+AV193</f>
        <v>14075693.57465115</v>
      </c>
      <c r="AW120" s="410">
        <f>AW123+AW147+AW173+AW216+AW236+AW131+AW139+AW193</f>
        <v>15764776.803609295</v>
      </c>
      <c r="AX120" s="410">
        <f>AX123+AX147+AX173+AX216+AX236+AX131+AX139+AX193</f>
        <v>0</v>
      </c>
      <c r="AY120" s="410">
        <f>AY123+AY147+AY173+AY216+AY236+AY131+AY139+AY193</f>
        <v>0</v>
      </c>
      <c r="AZ120" s="410">
        <f>AZ123+AZ147+AZ173+AZ216+AZ236+AZ131+AZ139+AZ193</f>
        <v>0</v>
      </c>
      <c r="BA120" s="410">
        <f>BA123+BA147+BA173+BA216+BA236+BA131+BA139+BA193</f>
        <v>0</v>
      </c>
      <c r="BB120" s="410">
        <f>BB123+BB147+BB173+BB216+BB236+BB131+BB139+BB193</f>
        <v>0</v>
      </c>
      <c r="BC120" s="410">
        <f>BC123+BC147+BC173+BC216+BC236+BC131+BC139+BC193</f>
        <v>0</v>
      </c>
      <c r="BD120" s="410">
        <f>BD123+BD147+BD173+BD216+BD236+BD131+BD139+BD193</f>
        <v>0</v>
      </c>
      <c r="BE120" s="410">
        <f>BE123+BE147+BE173+BE216+BE236+BE131+BE139+BE193</f>
        <v>0</v>
      </c>
      <c r="BF120" s="410">
        <f>BF123+BF147+BF173+BF216+BF236+BF131+BF139+BF193</f>
        <v>0</v>
      </c>
      <c r="BG120" s="410">
        <f>BG123+BG147+BG173+BG216+BG236+BG131+BG139+BG193</f>
        <v>0</v>
      </c>
      <c r="BH120" s="410">
        <f>BH123+BH147+BH173+BH216+BH236+BH131+BH139+BH193</f>
        <v>0</v>
      </c>
      <c r="BI120" s="410">
        <f>BI123+BI147+BI173+BI216+BI236+BI131+BI139+BI193</f>
        <v>0</v>
      </c>
      <c r="BJ120" s="410">
        <f>BJ123+BJ147+BJ173+BJ216+BJ236+BJ131+BJ139+BJ193</f>
        <v>0</v>
      </c>
      <c r="BK120" s="410">
        <f>BK123+BK147+BK173+BK216+BK236+BK131+BK139+BK193</f>
        <v>0</v>
      </c>
      <c r="BL120" s="410">
        <f>BL123+BL147+BL173+BL216+BL236+BL131+BL139+BL193</f>
        <v>0</v>
      </c>
      <c r="BM120" s="411"/>
      <c r="BN120" s="89">
        <f>BN125+BN149+BN175+BN218+BN238+BN247+BN253</f>
        <v>0</v>
      </c>
      <c r="BO120" s="410">
        <f>BO123+BO147+BO173+BO216+BO236+BO131+BO139+BO193</f>
        <v>12344.72027</v>
      </c>
      <c r="BP120" s="410">
        <f>BP123+BP147+BP173+BP216+BP236+BP131+BP139+BP193</f>
        <v>171406.79699999999</v>
      </c>
      <c r="BQ120" s="410">
        <f>BQ123+BQ147+BQ173+BQ216+BQ236+BQ131+BQ139+BQ193</f>
        <v>38.474249999999998</v>
      </c>
      <c r="BR120" s="89"/>
      <c r="BS120" s="89"/>
      <c r="BT120" s="89"/>
      <c r="BW120" s="39"/>
      <c r="BX120" s="38"/>
    </row>
    <row r="121" spans="1:76" s="393" customFormat="1" x14ac:dyDescent="0.25">
      <c r="A121" s="409"/>
      <c r="B121" s="98"/>
      <c r="C121" s="408" t="s">
        <v>6</v>
      </c>
      <c r="D121" s="408" t="s">
        <v>5</v>
      </c>
      <c r="E121" s="401">
        <f>E120</f>
        <v>24265362</v>
      </c>
      <c r="F121" s="401">
        <f>F120</f>
        <v>27177205.440000001</v>
      </c>
      <c r="G121" s="407"/>
      <c r="H121" s="397"/>
      <c r="I121" s="401">
        <f>I120</f>
        <v>15833244</v>
      </c>
      <c r="J121" s="401">
        <f>J120</f>
        <v>17733233.280000001</v>
      </c>
      <c r="K121" s="406"/>
      <c r="L121" s="405"/>
      <c r="M121" s="404"/>
      <c r="N121" s="403">
        <f>N120</f>
        <v>15384572375.908213</v>
      </c>
      <c r="O121" s="403">
        <f>O120</f>
        <v>17197891348.089996</v>
      </c>
      <c r="P121" s="403">
        <f>P120</f>
        <v>16558234618.948214</v>
      </c>
      <c r="Q121" s="403">
        <f>Q120</f>
        <v>18371553591.129997</v>
      </c>
      <c r="R121" s="402"/>
      <c r="S121" s="397">
        <f>S126+S150+S176+S219+S239+S248+S254</f>
        <v>0</v>
      </c>
      <c r="T121" s="401">
        <f>T120</f>
        <v>0</v>
      </c>
      <c r="U121" s="401">
        <f>U120</f>
        <v>0</v>
      </c>
      <c r="V121" s="401">
        <f>V120</f>
        <v>0</v>
      </c>
      <c r="W121" s="401">
        <f>W120</f>
        <v>0</v>
      </c>
      <c r="X121" s="401">
        <f>X120</f>
        <v>0</v>
      </c>
      <c r="Y121" s="401">
        <f>Y120</f>
        <v>0</v>
      </c>
      <c r="Z121" s="401">
        <f>Z120</f>
        <v>0</v>
      </c>
      <c r="AA121" s="401">
        <f>AA120</f>
        <v>0</v>
      </c>
      <c r="AB121" s="401">
        <f>AB120</f>
        <v>0</v>
      </c>
      <c r="AC121" s="401">
        <f>AC120</f>
        <v>2929094.4984299992</v>
      </c>
      <c r="AD121" s="401">
        <f>AD120</f>
        <v>3280888.4660100001</v>
      </c>
      <c r="AE121" s="401">
        <f>AE120</f>
        <v>0</v>
      </c>
      <c r="AF121" s="401">
        <f>AF120</f>
        <v>2929094.4984299992</v>
      </c>
      <c r="AG121" s="401">
        <f>AG120</f>
        <v>3280888.4660100001</v>
      </c>
      <c r="AH121" s="401">
        <f>AH120</f>
        <v>0</v>
      </c>
      <c r="AI121" s="401">
        <f>AI120</f>
        <v>15833243.836241072</v>
      </c>
      <c r="AJ121" s="401">
        <f>AJ120</f>
        <v>17733233.096590001</v>
      </c>
      <c r="AK121" s="401">
        <f>AK120</f>
        <v>0</v>
      </c>
      <c r="AL121" s="401">
        <f>AL120</f>
        <v>9195213.4367503561</v>
      </c>
      <c r="AM121" s="397">
        <f>AM120</f>
        <v>10119982.000880001</v>
      </c>
      <c r="AN121" s="401">
        <f>AN120</f>
        <v>0</v>
      </c>
      <c r="AO121" s="397">
        <f>AO120</f>
        <v>-6638030.3994907141</v>
      </c>
      <c r="AP121" s="397">
        <f>AP120</f>
        <v>-7613251.095710001</v>
      </c>
      <c r="AQ121" s="397">
        <f>AQ120</f>
        <v>0</v>
      </c>
      <c r="AR121" s="400">
        <f>IF(AI121=0,"",AL121/AI121)</f>
        <v>0.58075360500058892</v>
      </c>
      <c r="AS121" s="399">
        <f>AS120</f>
        <v>1391923.652955357</v>
      </c>
      <c r="AT121" s="399">
        <f>AT120</f>
        <v>7803289.7837949991</v>
      </c>
      <c r="AU121" s="399">
        <f>AU120</f>
        <v>0</v>
      </c>
      <c r="AV121" s="397">
        <f>AV120</f>
        <v>14075693.57465115</v>
      </c>
      <c r="AW121" s="397">
        <f>AW120</f>
        <v>15764776.803609295</v>
      </c>
      <c r="AX121" s="397">
        <f>AX120</f>
        <v>0</v>
      </c>
      <c r="AY121" s="397">
        <f>AY120</f>
        <v>0</v>
      </c>
      <c r="AZ121" s="397">
        <f>AZ120</f>
        <v>0</v>
      </c>
      <c r="BA121" s="397">
        <f>BA120</f>
        <v>0</v>
      </c>
      <c r="BB121" s="397">
        <f>BB120</f>
        <v>0</v>
      </c>
      <c r="BC121" s="397">
        <f>BC120</f>
        <v>0</v>
      </c>
      <c r="BD121" s="397">
        <f>BD120</f>
        <v>0</v>
      </c>
      <c r="BE121" s="397">
        <f>BE120</f>
        <v>0</v>
      </c>
      <c r="BF121" s="397">
        <f>BF120</f>
        <v>0</v>
      </c>
      <c r="BG121" s="397">
        <f>BG120</f>
        <v>0</v>
      </c>
      <c r="BH121" s="397">
        <f>BH120</f>
        <v>0</v>
      </c>
      <c r="BI121" s="397">
        <f>BI120</f>
        <v>0</v>
      </c>
      <c r="BJ121" s="397">
        <f>BJ120</f>
        <v>0</v>
      </c>
      <c r="BK121" s="397">
        <f>BK120</f>
        <v>0</v>
      </c>
      <c r="BL121" s="397">
        <f>BL120</f>
        <v>0</v>
      </c>
      <c r="BM121" s="398"/>
      <c r="BN121" s="396">
        <f>BN126+BN150+BN176+BN219+BN239+BN248+BN254</f>
        <v>0</v>
      </c>
      <c r="BO121" s="397">
        <f>BO120</f>
        <v>12344.72027</v>
      </c>
      <c r="BP121" s="397">
        <f>BP120</f>
        <v>171406.79699999999</v>
      </c>
      <c r="BQ121" s="397">
        <f>BQ120</f>
        <v>38.474249999999998</v>
      </c>
      <c r="BR121" s="396"/>
      <c r="BS121" s="396"/>
      <c r="BT121" s="396"/>
      <c r="BW121" s="395"/>
      <c r="BX121" s="394"/>
    </row>
    <row r="122" spans="1:76" s="288" customFormat="1" ht="36.75" customHeight="1" x14ac:dyDescent="0.25">
      <c r="A122" s="72">
        <v>1</v>
      </c>
      <c r="B122" s="237" t="s">
        <v>109</v>
      </c>
      <c r="C122" s="304" t="s">
        <v>9</v>
      </c>
      <c r="D122" s="290"/>
      <c r="E122" s="355">
        <f>E124+E127</f>
        <v>1491</v>
      </c>
      <c r="F122" s="355">
        <f>F124+F127</f>
        <v>1669.92</v>
      </c>
      <c r="G122" s="357"/>
      <c r="H122" s="356">
        <f>H124</f>
        <v>1</v>
      </c>
      <c r="I122" s="355">
        <f>I124+I127</f>
        <v>1491</v>
      </c>
      <c r="J122" s="355">
        <f>J124+J127</f>
        <v>1669.92</v>
      </c>
      <c r="K122" s="370" t="s">
        <v>108</v>
      </c>
      <c r="L122" s="369"/>
      <c r="M122" s="368"/>
      <c r="N122" s="352">
        <f>N124+N127</f>
        <v>858077.32142857136</v>
      </c>
      <c r="O122" s="352">
        <f>O124+O127</f>
        <v>961046.6</v>
      </c>
      <c r="P122" s="352">
        <f>P124+P127</f>
        <v>858077.32142857136</v>
      </c>
      <c r="Q122" s="352">
        <f>Q124+Q127</f>
        <v>961046.6</v>
      </c>
      <c r="R122" s="390"/>
      <c r="S122" s="297">
        <f>S124+S127</f>
        <v>1</v>
      </c>
      <c r="T122" s="350"/>
      <c r="U122" s="350"/>
      <c r="V122" s="350"/>
      <c r="W122" s="350"/>
      <c r="X122" s="350"/>
      <c r="Y122" s="350"/>
      <c r="Z122" s="350"/>
      <c r="AA122" s="350"/>
      <c r="AB122" s="350"/>
      <c r="AC122" s="350"/>
      <c r="AD122" s="350"/>
      <c r="AE122" s="350"/>
      <c r="AF122" s="350"/>
      <c r="AG122" s="350"/>
      <c r="AH122" s="350"/>
      <c r="AI122" s="350">
        <f>AI124+AI127</f>
        <v>1491</v>
      </c>
      <c r="AJ122" s="350">
        <f>AJ124+AJ127</f>
        <v>1669.92</v>
      </c>
      <c r="AK122" s="350">
        <f>AK124+AK127</f>
        <v>1</v>
      </c>
      <c r="AL122" s="350">
        <f>AL124+AL127</f>
        <v>786</v>
      </c>
      <c r="AM122" s="348">
        <f>AM124+AM127</f>
        <v>880.32</v>
      </c>
      <c r="AN122" s="350">
        <f>AN124+AN127</f>
        <v>1</v>
      </c>
      <c r="AO122" s="348">
        <f>AL122-AI122</f>
        <v>-705</v>
      </c>
      <c r="AP122" s="348">
        <f>AM122-AJ122</f>
        <v>-789.6</v>
      </c>
      <c r="AQ122" s="348">
        <f>AN122-AK122</f>
        <v>0</v>
      </c>
      <c r="AR122" s="293">
        <f>IF(AI122=0,"",AL122/AI122)</f>
        <v>0.52716297786720323</v>
      </c>
      <c r="AS122" s="349">
        <f>AS124+AS127</f>
        <v>0</v>
      </c>
      <c r="AT122" s="349">
        <f>AT124+AT127</f>
        <v>0</v>
      </c>
      <c r="AU122" s="349">
        <f>AU124+AU127</f>
        <v>0</v>
      </c>
      <c r="AV122" s="348">
        <f>AV124+AV127</f>
        <v>1491</v>
      </c>
      <c r="AW122" s="348">
        <f>AW124+AW127</f>
        <v>1669.92</v>
      </c>
      <c r="AX122" s="348">
        <f>AX124+AX127</f>
        <v>1</v>
      </c>
      <c r="AY122" s="348">
        <f>AY124+AY127</f>
        <v>0</v>
      </c>
      <c r="AZ122" s="348">
        <f>AZ124+AZ127</f>
        <v>-705</v>
      </c>
      <c r="BA122" s="348">
        <f>BA124+BA127</f>
        <v>0</v>
      </c>
      <c r="BB122" s="348">
        <f>BB124+BB127</f>
        <v>0</v>
      </c>
      <c r="BC122" s="348">
        <f>BC124+BC127</f>
        <v>0</v>
      </c>
      <c r="BD122" s="348">
        <f>BD124+BD127</f>
        <v>0</v>
      </c>
      <c r="BE122" s="348">
        <f>BE124+BE127</f>
        <v>0</v>
      </c>
      <c r="BF122" s="348">
        <f>BF124+BF127</f>
        <v>0</v>
      </c>
      <c r="BG122" s="348">
        <f>BG124+BG127</f>
        <v>0</v>
      </c>
      <c r="BH122" s="348">
        <f>BH124+BH127</f>
        <v>0</v>
      </c>
      <c r="BI122" s="348">
        <f>BI124+BI127</f>
        <v>0</v>
      </c>
      <c r="BJ122" s="348">
        <f>BJ124+BJ127</f>
        <v>0</v>
      </c>
      <c r="BK122" s="348">
        <f>BK124+BK127</f>
        <v>0</v>
      </c>
      <c r="BL122" s="348">
        <f>BL124+BL127</f>
        <v>0</v>
      </c>
      <c r="BM122" s="358" t="s">
        <v>82</v>
      </c>
      <c r="BN122" s="389"/>
      <c r="BO122" s="348">
        <f>BO124+BO127</f>
        <v>0</v>
      </c>
      <c r="BP122" s="348">
        <f>BP124+BP127</f>
        <v>0</v>
      </c>
      <c r="BQ122" s="348">
        <f>BQ124+BQ127</f>
        <v>0</v>
      </c>
      <c r="BR122" s="389"/>
      <c r="BS122" s="389"/>
      <c r="BT122" s="389"/>
      <c r="BW122" s="290"/>
      <c r="BX122" s="289"/>
    </row>
    <row r="123" spans="1:76" s="288" customFormat="1" ht="36.75" customHeight="1" x14ac:dyDescent="0.25">
      <c r="A123" s="200"/>
      <c r="B123" s="235"/>
      <c r="C123" s="304" t="s">
        <v>6</v>
      </c>
      <c r="D123" s="357"/>
      <c r="E123" s="355">
        <f>E125+E128</f>
        <v>1491</v>
      </c>
      <c r="F123" s="355">
        <f>F125+F128</f>
        <v>1669.92</v>
      </c>
      <c r="G123" s="357"/>
      <c r="H123" s="356"/>
      <c r="I123" s="355">
        <f>I125+I128</f>
        <v>1491</v>
      </c>
      <c r="J123" s="355">
        <f>J125+J128</f>
        <v>1669.92</v>
      </c>
      <c r="K123" s="367"/>
      <c r="L123" s="366"/>
      <c r="M123" s="365"/>
      <c r="N123" s="352">
        <f>N125+N128</f>
        <v>858077.32142857136</v>
      </c>
      <c r="O123" s="352">
        <f>O125+O128</f>
        <v>961046.6</v>
      </c>
      <c r="P123" s="352">
        <f>P125+P128</f>
        <v>858077.32142857136</v>
      </c>
      <c r="Q123" s="352">
        <f>Q125+Q128</f>
        <v>961046.6</v>
      </c>
      <c r="R123" s="390"/>
      <c r="S123" s="297"/>
      <c r="T123" s="350"/>
      <c r="U123" s="350"/>
      <c r="V123" s="350"/>
      <c r="W123" s="350"/>
      <c r="X123" s="350"/>
      <c r="Y123" s="350"/>
      <c r="Z123" s="350"/>
      <c r="AA123" s="350"/>
      <c r="AB123" s="350"/>
      <c r="AC123" s="350"/>
      <c r="AD123" s="350"/>
      <c r="AE123" s="350"/>
      <c r="AF123" s="350"/>
      <c r="AG123" s="350"/>
      <c r="AH123" s="350"/>
      <c r="AI123" s="350">
        <f>AI125+AI128</f>
        <v>1491</v>
      </c>
      <c r="AJ123" s="350">
        <f>AJ125+AJ128</f>
        <v>1669.92</v>
      </c>
      <c r="AK123" s="350">
        <f>AK125+AK128</f>
        <v>0</v>
      </c>
      <c r="AL123" s="350">
        <f>AL125+AL128</f>
        <v>435.69683035714286</v>
      </c>
      <c r="AM123" s="348">
        <f>AM125+AM128</f>
        <v>487.98045000000002</v>
      </c>
      <c r="AN123" s="350">
        <f>AN125+AN128</f>
        <v>0</v>
      </c>
      <c r="AO123" s="348">
        <f>AL123-AI123</f>
        <v>-1055.303169642857</v>
      </c>
      <c r="AP123" s="348">
        <f>AM123-AJ123</f>
        <v>-1181.9395500000001</v>
      </c>
      <c r="AQ123" s="348">
        <f>AN123-AK123</f>
        <v>0</v>
      </c>
      <c r="AR123" s="293">
        <f>IF(AI123=0,"",AL123/AI123)</f>
        <v>0.29221786073584366</v>
      </c>
      <c r="AS123" s="349">
        <f>AS125+AS128</f>
        <v>0</v>
      </c>
      <c r="AT123" s="349">
        <f>AT125+AT128</f>
        <v>435.69683035714286</v>
      </c>
      <c r="AU123" s="349">
        <f>AU125+AU128</f>
        <v>0</v>
      </c>
      <c r="AV123" s="348">
        <f>AV125+AV128</f>
        <v>1491</v>
      </c>
      <c r="AW123" s="348">
        <f>AW125+AW128</f>
        <v>1669.92</v>
      </c>
      <c r="AX123" s="348">
        <f>AX125+AX128</f>
        <v>0</v>
      </c>
      <c r="AY123" s="348">
        <f>AY125+AY128</f>
        <v>0</v>
      </c>
      <c r="AZ123" s="348">
        <f>AZ125+AZ128</f>
        <v>0</v>
      </c>
      <c r="BA123" s="348">
        <f>BA125+BA128</f>
        <v>0</v>
      </c>
      <c r="BB123" s="348">
        <f>BB125+BB128</f>
        <v>0</v>
      </c>
      <c r="BC123" s="348">
        <f>BC125+BC128</f>
        <v>0</v>
      </c>
      <c r="BD123" s="348">
        <f>BD125+BD128</f>
        <v>0</v>
      </c>
      <c r="BE123" s="348">
        <f>BE125+BE128</f>
        <v>0</v>
      </c>
      <c r="BF123" s="348">
        <f>BF125+BF128</f>
        <v>0</v>
      </c>
      <c r="BG123" s="348">
        <f>BG125+BG128</f>
        <v>0</v>
      </c>
      <c r="BH123" s="348">
        <f>BH125+BH128</f>
        <v>0</v>
      </c>
      <c r="BI123" s="348">
        <f>BI125+BI128</f>
        <v>0</v>
      </c>
      <c r="BJ123" s="348">
        <f>BJ125+BJ128</f>
        <v>0</v>
      </c>
      <c r="BK123" s="348">
        <f>BK125+BK128</f>
        <v>0</v>
      </c>
      <c r="BL123" s="348">
        <f>BL125+BL128</f>
        <v>0</v>
      </c>
      <c r="BM123" s="358"/>
      <c r="BN123" s="389"/>
      <c r="BO123" s="348">
        <f>BO125+BO128</f>
        <v>0</v>
      </c>
      <c r="BP123" s="348">
        <f>BP125+BP128</f>
        <v>0</v>
      </c>
      <c r="BQ123" s="348">
        <f>BQ125+BQ128</f>
        <v>0</v>
      </c>
      <c r="BR123" s="389"/>
      <c r="BS123" s="389"/>
      <c r="BT123" s="389"/>
      <c r="BW123" s="290"/>
      <c r="BX123" s="289"/>
    </row>
    <row r="124" spans="1:76" s="383" customFormat="1" ht="36.75" customHeight="1" x14ac:dyDescent="0.25">
      <c r="A124" s="200"/>
      <c r="B124" s="235"/>
      <c r="C124" s="214" t="s">
        <v>9</v>
      </c>
      <c r="D124" s="214" t="s">
        <v>8</v>
      </c>
      <c r="E124" s="213">
        <v>1491</v>
      </c>
      <c r="F124" s="213">
        <f>E124*1.12</f>
        <v>1669.92</v>
      </c>
      <c r="G124" s="243">
        <v>1818</v>
      </c>
      <c r="H124" s="242">
        <v>1</v>
      </c>
      <c r="I124" s="212">
        <v>1491</v>
      </c>
      <c r="J124" s="212">
        <f>I124*1.12</f>
        <v>1669.92</v>
      </c>
      <c r="K124" s="238" t="s">
        <v>34</v>
      </c>
      <c r="L124" s="237" t="s">
        <v>88</v>
      </c>
      <c r="M124" s="211" t="s">
        <v>13</v>
      </c>
      <c r="N124" s="210">
        <f>P124</f>
        <v>858077.32142857136</v>
      </c>
      <c r="O124" s="210">
        <f>Q124</f>
        <v>961046.6</v>
      </c>
      <c r="P124" s="210">
        <f>Q124/1.12</f>
        <v>858077.32142857136</v>
      </c>
      <c r="Q124" s="210">
        <v>961046.6</v>
      </c>
      <c r="R124" s="113" t="s">
        <v>85</v>
      </c>
      <c r="S124" s="208">
        <v>1</v>
      </c>
      <c r="T124" s="315"/>
      <c r="U124" s="315"/>
      <c r="V124" s="315"/>
      <c r="W124" s="315"/>
      <c r="X124" s="315"/>
      <c r="Y124" s="315"/>
      <c r="Z124" s="206"/>
      <c r="AA124" s="206"/>
      <c r="AB124" s="206"/>
      <c r="AC124" s="206"/>
      <c r="AD124" s="206"/>
      <c r="AE124" s="206"/>
      <c r="AF124" s="388">
        <f>Z124+AC124</f>
        <v>0</v>
      </c>
      <c r="AG124" s="388">
        <f>AA124+AD124</f>
        <v>0</v>
      </c>
      <c r="AH124" s="388">
        <f>AB124+AE124</f>
        <v>0</v>
      </c>
      <c r="AI124" s="206">
        <v>1491</v>
      </c>
      <c r="AJ124" s="206">
        <f>AI124*1.12</f>
        <v>1669.92</v>
      </c>
      <c r="AK124" s="206">
        <v>1</v>
      </c>
      <c r="AL124" s="206">
        <v>786</v>
      </c>
      <c r="AM124" s="203">
        <f>AL124*1.12</f>
        <v>880.32</v>
      </c>
      <c r="AN124" s="206">
        <v>1</v>
      </c>
      <c r="AO124" s="203">
        <f>AL124-(AI124/$AK$124*$AN$124)</f>
        <v>-705</v>
      </c>
      <c r="AP124" s="203">
        <f>AM124-(AJ124/$AK$124*$AN$124)</f>
        <v>-789.6</v>
      </c>
      <c r="AQ124" s="203">
        <f>AN124-S124</f>
        <v>0</v>
      </c>
      <c r="AR124" s="205"/>
      <c r="AS124" s="204"/>
      <c r="AT124" s="204"/>
      <c r="AU124" s="204"/>
      <c r="AV124" s="203">
        <f>E124</f>
        <v>1491</v>
      </c>
      <c r="AW124" s="203">
        <f>AV124*1.12</f>
        <v>1669.92</v>
      </c>
      <c r="AX124" s="203">
        <f>H124</f>
        <v>1</v>
      </c>
      <c r="AY124" s="203"/>
      <c r="AZ124" s="203">
        <f>AL124-AI124</f>
        <v>-705</v>
      </c>
      <c r="BA124" s="203"/>
      <c r="BB124" s="203"/>
      <c r="BC124" s="203"/>
      <c r="BD124" s="203"/>
      <c r="BE124" s="203"/>
      <c r="BF124" s="203"/>
      <c r="BG124" s="203"/>
      <c r="BH124" s="203"/>
      <c r="BI124" s="203"/>
      <c r="BJ124" s="203"/>
      <c r="BK124" s="203"/>
      <c r="BL124" s="203"/>
      <c r="BM124" s="387"/>
      <c r="BN124" s="385"/>
      <c r="BO124" s="202"/>
      <c r="BP124" s="202"/>
      <c r="BQ124" s="202"/>
      <c r="BR124" s="386"/>
      <c r="BS124" s="386"/>
      <c r="BT124" s="202"/>
      <c r="BW124" s="385"/>
      <c r="BX124" s="384"/>
    </row>
    <row r="125" spans="1:76" ht="36.75" customHeight="1" x14ac:dyDescent="0.25">
      <c r="A125" s="200"/>
      <c r="B125" s="235"/>
      <c r="C125" s="70" t="s">
        <v>6</v>
      </c>
      <c r="D125" s="70" t="s">
        <v>26</v>
      </c>
      <c r="E125" s="198">
        <f>E126</f>
        <v>1491</v>
      </c>
      <c r="F125" s="198">
        <f>F126</f>
        <v>1669.92</v>
      </c>
      <c r="G125" s="197"/>
      <c r="H125" s="196"/>
      <c r="I125" s="195">
        <f>I126</f>
        <v>1491</v>
      </c>
      <c r="J125" s="195">
        <f>J126</f>
        <v>1669.92</v>
      </c>
      <c r="K125" s="236"/>
      <c r="L125" s="235"/>
      <c r="M125" s="193"/>
      <c r="N125" s="50">
        <f>P125</f>
        <v>858077.32142857136</v>
      </c>
      <c r="O125" s="50">
        <f>Q125</f>
        <v>961046.6</v>
      </c>
      <c r="P125" s="50">
        <f>Q125/1.12</f>
        <v>858077.32142857136</v>
      </c>
      <c r="Q125" s="50">
        <f>Q124</f>
        <v>961046.6</v>
      </c>
      <c r="R125" s="113"/>
      <c r="S125" s="190"/>
      <c r="T125" s="47"/>
      <c r="U125" s="47"/>
      <c r="V125" s="47"/>
      <c r="W125" s="47"/>
      <c r="X125" s="47"/>
      <c r="Y125" s="47"/>
      <c r="Z125" s="66"/>
      <c r="AA125" s="66"/>
      <c r="AB125" s="66"/>
      <c r="AC125" s="66"/>
      <c r="AD125" s="66"/>
      <c r="AE125" s="66"/>
      <c r="AF125" s="46">
        <f>Z125+AC125</f>
        <v>0</v>
      </c>
      <c r="AG125" s="46">
        <f>AA125+AD125</f>
        <v>0</v>
      </c>
      <c r="AH125" s="46">
        <f>AB125+AE125</f>
        <v>0</v>
      </c>
      <c r="AI125" s="66">
        <v>1491</v>
      </c>
      <c r="AJ125" s="66">
        <f>AJ126</f>
        <v>1669.92</v>
      </c>
      <c r="AK125" s="66"/>
      <c r="AL125" s="117">
        <f>AL126</f>
        <v>435.69683035714286</v>
      </c>
      <c r="AM125" s="64">
        <f>AM126</f>
        <v>487.98045000000002</v>
      </c>
      <c r="AN125" s="66"/>
      <c r="AO125" s="64">
        <f>AL125-(AI125/$AK$124*$AN$124)</f>
        <v>-1055.303169642857</v>
      </c>
      <c r="AP125" s="64">
        <f>AM125-(AJ125/$AK$124*$AN$124)</f>
        <v>-1181.9395500000001</v>
      </c>
      <c r="AQ125" s="62"/>
      <c r="AR125" s="189"/>
      <c r="AS125" s="115"/>
      <c r="AT125" s="115">
        <f>AL125</f>
        <v>435.69683035714286</v>
      </c>
      <c r="AU125" s="63"/>
      <c r="AV125" s="64">
        <f>E125</f>
        <v>1491</v>
      </c>
      <c r="AW125" s="62">
        <f>AV125*1.12</f>
        <v>1669.92</v>
      </c>
      <c r="AX125" s="62"/>
      <c r="AY125" s="62"/>
      <c r="AZ125" s="62"/>
      <c r="BA125" s="62"/>
      <c r="BB125" s="62"/>
      <c r="BC125" s="62"/>
      <c r="BD125" s="62"/>
      <c r="BE125" s="62"/>
      <c r="BF125" s="62"/>
      <c r="BG125" s="62"/>
      <c r="BH125" s="62"/>
      <c r="BI125" s="62"/>
      <c r="BJ125" s="62"/>
      <c r="BK125" s="62"/>
      <c r="BL125" s="62"/>
      <c r="BM125" s="53"/>
      <c r="BN125" s="39"/>
      <c r="BO125" s="59"/>
      <c r="BP125" s="59"/>
      <c r="BQ125" s="59"/>
      <c r="BR125" s="323"/>
      <c r="BS125" s="323"/>
      <c r="BT125" s="59"/>
      <c r="BW125" s="39"/>
      <c r="BX125" s="38"/>
    </row>
    <row r="126" spans="1:76" ht="36.75" customHeight="1" x14ac:dyDescent="0.25">
      <c r="A126" s="200"/>
      <c r="B126" s="235"/>
      <c r="C126" s="53" t="s">
        <v>6</v>
      </c>
      <c r="D126" s="53" t="s">
        <v>5</v>
      </c>
      <c r="E126" s="186">
        <f>E124</f>
        <v>1491</v>
      </c>
      <c r="F126" s="186">
        <f>E126*1.12</f>
        <v>1669.92</v>
      </c>
      <c r="G126" s="197"/>
      <c r="H126" s="196"/>
      <c r="I126" s="183">
        <v>1491</v>
      </c>
      <c r="J126" s="183">
        <f>I126*1.12</f>
        <v>1669.92</v>
      </c>
      <c r="K126" s="234"/>
      <c r="L126" s="233"/>
      <c r="M126" s="181"/>
      <c r="N126" s="50">
        <f>P126</f>
        <v>858077.32142857136</v>
      </c>
      <c r="O126" s="50">
        <f>Q126</f>
        <v>961046.6</v>
      </c>
      <c r="P126" s="50">
        <f>Q126/1.12</f>
        <v>858077.32142857136</v>
      </c>
      <c r="Q126" s="50">
        <f>Q125</f>
        <v>961046.6</v>
      </c>
      <c r="R126" s="113"/>
      <c r="S126" s="179"/>
      <c r="T126" s="47"/>
      <c r="U126" s="47"/>
      <c r="V126" s="47"/>
      <c r="W126" s="47"/>
      <c r="X126" s="47"/>
      <c r="Y126" s="47"/>
      <c r="Z126" s="46"/>
      <c r="AA126" s="46"/>
      <c r="AB126" s="46"/>
      <c r="AC126" s="46"/>
      <c r="AD126" s="46"/>
      <c r="AE126" s="46"/>
      <c r="AF126" s="46">
        <f>Z126+AC126</f>
        <v>0</v>
      </c>
      <c r="AG126" s="46">
        <f>AA126+AD126</f>
        <v>0</v>
      </c>
      <c r="AH126" s="46">
        <f>AB126+AE126</f>
        <v>0</v>
      </c>
      <c r="AI126" s="46">
        <f>AI125</f>
        <v>1491</v>
      </c>
      <c r="AJ126" s="46">
        <f>AI126*1.12</f>
        <v>1669.92</v>
      </c>
      <c r="AK126" s="46"/>
      <c r="AL126" s="391">
        <f>487.98045/1.12</f>
        <v>435.69683035714286</v>
      </c>
      <c r="AM126" s="44">
        <f>AL126*1.12</f>
        <v>487.98045000000002</v>
      </c>
      <c r="AN126" s="46"/>
      <c r="AO126" s="44">
        <f>AL126-(AI126/$AK$124*$AN$124)</f>
        <v>-1055.303169642857</v>
      </c>
      <c r="AP126" s="44">
        <f>AM126-(AJ126/$AK$124*$AN$124)</f>
        <v>-1181.9395500000001</v>
      </c>
      <c r="AQ126" s="62"/>
      <c r="AR126" s="189"/>
      <c r="AS126" s="101"/>
      <c r="AT126" s="101">
        <f>AL126</f>
        <v>435.69683035714286</v>
      </c>
      <c r="AU126" s="42"/>
      <c r="AV126" s="44">
        <f>AV125</f>
        <v>1491</v>
      </c>
      <c r="AW126" s="41">
        <f>AV126*1.12</f>
        <v>1669.92</v>
      </c>
      <c r="AX126" s="41"/>
      <c r="AY126" s="62"/>
      <c r="AZ126" s="41"/>
      <c r="BA126" s="41"/>
      <c r="BB126" s="41"/>
      <c r="BC126" s="41"/>
      <c r="BD126" s="41"/>
      <c r="BE126" s="41"/>
      <c r="BF126" s="62"/>
      <c r="BG126" s="41"/>
      <c r="BH126" s="41"/>
      <c r="BI126" s="41"/>
      <c r="BJ126" s="41"/>
      <c r="BK126" s="41"/>
      <c r="BL126" s="41"/>
      <c r="BM126" s="53"/>
      <c r="BN126" s="39"/>
      <c r="BO126" s="39"/>
      <c r="BP126" s="39"/>
      <c r="BQ126" s="39"/>
      <c r="BR126" s="323"/>
      <c r="BS126" s="323"/>
      <c r="BT126" s="39"/>
      <c r="BW126" s="39"/>
      <c r="BX126" s="38"/>
    </row>
    <row r="127" spans="1:76" s="201" customFormat="1" ht="16.5" hidden="1" customHeight="1" outlineLevel="1" x14ac:dyDescent="0.25">
      <c r="A127" s="200"/>
      <c r="B127" s="235"/>
      <c r="C127" s="214" t="s">
        <v>9</v>
      </c>
      <c r="D127" s="214" t="s">
        <v>8</v>
      </c>
      <c r="E127" s="213"/>
      <c r="F127" s="213"/>
      <c r="G127" s="197"/>
      <c r="H127" s="196"/>
      <c r="I127" s="212"/>
      <c r="J127" s="212"/>
      <c r="K127" s="118"/>
      <c r="L127" s="217"/>
      <c r="M127" s="211" t="s">
        <v>13</v>
      </c>
      <c r="N127" s="210">
        <f>P127</f>
        <v>0</v>
      </c>
      <c r="O127" s="210">
        <f>Q127</f>
        <v>0</v>
      </c>
      <c r="P127" s="210">
        <f>Q127/1.12</f>
        <v>0</v>
      </c>
      <c r="Q127" s="210"/>
      <c r="R127" s="113"/>
      <c r="S127" s="104"/>
      <c r="T127" s="315"/>
      <c r="U127" s="315"/>
      <c r="V127" s="315"/>
      <c r="W127" s="315"/>
      <c r="X127" s="315"/>
      <c r="Y127" s="315"/>
      <c r="Z127" s="206"/>
      <c r="AA127" s="206"/>
      <c r="AB127" s="206"/>
      <c r="AC127" s="206"/>
      <c r="AD127" s="206"/>
      <c r="AE127" s="206"/>
      <c r="AF127" s="206"/>
      <c r="AG127" s="206"/>
      <c r="AH127" s="206"/>
      <c r="AI127" s="206"/>
      <c r="AJ127" s="206"/>
      <c r="AK127" s="206"/>
      <c r="AL127" s="206"/>
      <c r="AM127" s="203">
        <f>AL127*1.12</f>
        <v>0</v>
      </c>
      <c r="AN127" s="206"/>
      <c r="AO127" s="203">
        <f>AL127-(AI124/$AK$124*$AN$127)+AI124/AK124*(AN124+AN127-AK124)</f>
        <v>0</v>
      </c>
      <c r="AP127" s="203">
        <f>AM127-(AJ124/$AK$124*$AN$127)+AJ124/AK124*(AN124+AN127-AK124)</f>
        <v>0</v>
      </c>
      <c r="AQ127" s="203">
        <f>AN127-S127</f>
        <v>0</v>
      </c>
      <c r="AR127" s="205" t="str">
        <f>IF(AI127=0,"",AL127/AI127)</f>
        <v/>
      </c>
      <c r="AS127" s="204"/>
      <c r="AT127" s="204"/>
      <c r="AU127" s="204"/>
      <c r="AV127" s="203">
        <f>AL127</f>
        <v>0</v>
      </c>
      <c r="AW127" s="203">
        <f>AV127*1.12</f>
        <v>0</v>
      </c>
      <c r="AX127" s="203"/>
      <c r="AY127" s="203"/>
      <c r="AZ127" s="203"/>
      <c r="BA127" s="203"/>
      <c r="BB127" s="203"/>
      <c r="BC127" s="203"/>
      <c r="BD127" s="203"/>
      <c r="BE127" s="203"/>
      <c r="BF127" s="203"/>
      <c r="BG127" s="203"/>
      <c r="BH127" s="203"/>
      <c r="BI127" s="203"/>
      <c r="BJ127" s="203"/>
      <c r="BK127" s="203"/>
      <c r="BL127" s="203"/>
      <c r="BM127" s="214"/>
      <c r="BN127" s="202"/>
      <c r="BO127" s="202"/>
      <c r="BP127" s="202"/>
      <c r="BQ127" s="202"/>
      <c r="BR127" s="334"/>
      <c r="BS127" s="334"/>
      <c r="BT127" s="202"/>
      <c r="BW127" s="202"/>
      <c r="BX127" s="314"/>
    </row>
    <row r="128" spans="1:76" s="57" customFormat="1" ht="16.5" hidden="1" customHeight="1" outlineLevel="1" x14ac:dyDescent="0.25">
      <c r="A128" s="200"/>
      <c r="B128" s="235"/>
      <c r="C128" s="70" t="s">
        <v>6</v>
      </c>
      <c r="D128" s="70" t="s">
        <v>26</v>
      </c>
      <c r="E128" s="198"/>
      <c r="F128" s="198"/>
      <c r="G128" s="197"/>
      <c r="H128" s="196"/>
      <c r="I128" s="195"/>
      <c r="J128" s="195"/>
      <c r="K128" s="194"/>
      <c r="L128" s="216"/>
      <c r="M128" s="193"/>
      <c r="N128" s="50">
        <f>P128</f>
        <v>0</v>
      </c>
      <c r="O128" s="50">
        <f>Q128</f>
        <v>0</v>
      </c>
      <c r="P128" s="51">
        <f>Q128/1.12</f>
        <v>0</v>
      </c>
      <c r="Q128" s="51">
        <f>Q127</f>
        <v>0</v>
      </c>
      <c r="R128" s="113"/>
      <c r="S128" s="104"/>
      <c r="T128" s="47"/>
      <c r="U128" s="47"/>
      <c r="V128" s="47"/>
      <c r="W128" s="47"/>
      <c r="X128" s="47"/>
      <c r="Y128" s="47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117"/>
      <c r="AM128" s="64">
        <f>AL128*1.12</f>
        <v>0</v>
      </c>
      <c r="AN128" s="66"/>
      <c r="AO128" s="64">
        <f>AL128-(AI125/$AK$124*$AN$127)+AI125/AK124*(AN124+AN127-AK124)</f>
        <v>0</v>
      </c>
      <c r="AP128" s="64">
        <f>AM128-(AJ125/$AK$124*$AN$127)+AJ125/AK124*(AN124+AN127-AK124)</f>
        <v>0</v>
      </c>
      <c r="AQ128" s="62"/>
      <c r="AR128" s="189" t="str">
        <f>IF(AI128=0,"",AL128/AI128)</f>
        <v/>
      </c>
      <c r="AS128" s="115"/>
      <c r="AT128" s="115">
        <f>AL128</f>
        <v>0</v>
      </c>
      <c r="AU128" s="63"/>
      <c r="AV128" s="64">
        <f>AL128</f>
        <v>0</v>
      </c>
      <c r="AW128" s="62">
        <f>AV128*1.12</f>
        <v>0</v>
      </c>
      <c r="AX128" s="62"/>
      <c r="AY128" s="62"/>
      <c r="AZ128" s="62"/>
      <c r="BA128" s="62"/>
      <c r="BB128" s="62"/>
      <c r="BC128" s="62"/>
      <c r="BD128" s="62"/>
      <c r="BE128" s="62"/>
      <c r="BF128" s="62"/>
      <c r="BG128" s="62"/>
      <c r="BH128" s="62"/>
      <c r="BI128" s="62"/>
      <c r="BJ128" s="62"/>
      <c r="BK128" s="62"/>
      <c r="BL128" s="62"/>
      <c r="BM128" s="70"/>
      <c r="BN128" s="59"/>
      <c r="BO128" s="59"/>
      <c r="BP128" s="59"/>
      <c r="BQ128" s="59"/>
      <c r="BR128" s="330"/>
      <c r="BS128" s="330"/>
      <c r="BT128" s="59"/>
      <c r="BW128" s="59"/>
      <c r="BX128" s="58"/>
    </row>
    <row r="129" spans="1:76" ht="16.5" hidden="1" customHeight="1" outlineLevel="1" x14ac:dyDescent="0.25">
      <c r="A129" s="55"/>
      <c r="B129" s="233"/>
      <c r="C129" s="53" t="s">
        <v>6</v>
      </c>
      <c r="D129" s="53" t="s">
        <v>5</v>
      </c>
      <c r="E129" s="186"/>
      <c r="F129" s="186"/>
      <c r="G129" s="185"/>
      <c r="H129" s="184"/>
      <c r="I129" s="183"/>
      <c r="J129" s="183"/>
      <c r="K129" s="105"/>
      <c r="L129" s="215"/>
      <c r="M129" s="181"/>
      <c r="N129" s="50">
        <f>P129</f>
        <v>0</v>
      </c>
      <c r="O129" s="50">
        <f>Q129</f>
        <v>0</v>
      </c>
      <c r="P129" s="50">
        <f>Q129/1.12</f>
        <v>0</v>
      </c>
      <c r="Q129" s="50">
        <f>Q128</f>
        <v>0</v>
      </c>
      <c r="R129" s="113"/>
      <c r="S129" s="104"/>
      <c r="T129" s="47"/>
      <c r="U129" s="47"/>
      <c r="V129" s="47"/>
      <c r="W129" s="47"/>
      <c r="X129" s="47"/>
      <c r="Y129" s="47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103">
        <f>AL128</f>
        <v>0</v>
      </c>
      <c r="AM129" s="44">
        <f>AM128</f>
        <v>0</v>
      </c>
      <c r="AN129" s="46"/>
      <c r="AO129" s="44">
        <f>AL129-(AI126/$AK$124*$AN$127)+AI125/AK124*(AN124+AN127-AK124)</f>
        <v>0</v>
      </c>
      <c r="AP129" s="44">
        <f>AM129-(AJ126/$AK$124*$AN$127)+AJ125/AK124*(AN124+AN127-AK124)</f>
        <v>0</v>
      </c>
      <c r="AQ129" s="62"/>
      <c r="AR129" s="189" t="str">
        <f>IF(AI129=0,"",AL129/AI129)</f>
        <v/>
      </c>
      <c r="AS129" s="101"/>
      <c r="AT129" s="101">
        <f>AL129</f>
        <v>0</v>
      </c>
      <c r="AU129" s="42"/>
      <c r="AV129" s="44">
        <f>AL129</f>
        <v>0</v>
      </c>
      <c r="AW129" s="41">
        <f>AV129*1.12</f>
        <v>0</v>
      </c>
      <c r="AX129" s="41"/>
      <c r="AY129" s="62"/>
      <c r="AZ129" s="41"/>
      <c r="BA129" s="41"/>
      <c r="BB129" s="41"/>
      <c r="BC129" s="41"/>
      <c r="BD129" s="41"/>
      <c r="BE129" s="41"/>
      <c r="BF129" s="62"/>
      <c r="BG129" s="41"/>
      <c r="BH129" s="41"/>
      <c r="BI129" s="41"/>
      <c r="BJ129" s="41"/>
      <c r="BK129" s="41"/>
      <c r="BL129" s="41"/>
      <c r="BM129" s="53"/>
      <c r="BN129" s="39"/>
      <c r="BO129" s="39"/>
      <c r="BP129" s="39"/>
      <c r="BQ129" s="39"/>
      <c r="BR129" s="323"/>
      <c r="BS129" s="323"/>
      <c r="BT129" s="39"/>
      <c r="BW129" s="39"/>
      <c r="BX129" s="38"/>
    </row>
    <row r="130" spans="1:76" s="288" customFormat="1" ht="18" customHeight="1" collapsed="1" x14ac:dyDescent="0.25">
      <c r="A130" s="72">
        <v>1</v>
      </c>
      <c r="B130" s="237" t="s">
        <v>107</v>
      </c>
      <c r="C130" s="304" t="s">
        <v>9</v>
      </c>
      <c r="D130" s="290"/>
      <c r="E130" s="355">
        <f>E132+E135</f>
        <v>6668</v>
      </c>
      <c r="F130" s="355">
        <f>F132+F135</f>
        <v>7468.1600000000008</v>
      </c>
      <c r="G130" s="357"/>
      <c r="H130" s="356">
        <f>H132</f>
        <v>5</v>
      </c>
      <c r="I130" s="355">
        <f>I132+I135</f>
        <v>6668</v>
      </c>
      <c r="J130" s="355">
        <f>J132+J135</f>
        <v>7468.1600000000008</v>
      </c>
      <c r="K130" s="370" t="s">
        <v>106</v>
      </c>
      <c r="L130" s="369"/>
      <c r="M130" s="368"/>
      <c r="N130" s="352">
        <f>N132+N135</f>
        <v>4731651.9999999991</v>
      </c>
      <c r="O130" s="352">
        <f>O132+O135</f>
        <v>5299450.24</v>
      </c>
      <c r="P130" s="352">
        <f>P132+P135</f>
        <v>4731651.9999999991</v>
      </c>
      <c r="Q130" s="352">
        <f>Q132+Q135</f>
        <v>5299450.24</v>
      </c>
      <c r="R130" s="390"/>
      <c r="S130" s="297">
        <f>S132+S135</f>
        <v>5</v>
      </c>
      <c r="T130" s="350"/>
      <c r="U130" s="350"/>
      <c r="V130" s="350"/>
      <c r="W130" s="350"/>
      <c r="X130" s="350"/>
      <c r="Y130" s="350"/>
      <c r="Z130" s="350"/>
      <c r="AA130" s="350"/>
      <c r="AB130" s="350"/>
      <c r="AC130" s="350"/>
      <c r="AD130" s="350"/>
      <c r="AE130" s="350"/>
      <c r="AF130" s="350"/>
      <c r="AG130" s="350"/>
      <c r="AH130" s="350"/>
      <c r="AI130" s="350">
        <f>AI132+AI135</f>
        <v>6668</v>
      </c>
      <c r="AJ130" s="350">
        <f>AJ132+AJ135</f>
        <v>7468.1600000000008</v>
      </c>
      <c r="AK130" s="350">
        <f>AK132+AK135</f>
        <v>5</v>
      </c>
      <c r="AL130" s="350">
        <f>AL132+AL135</f>
        <v>3691</v>
      </c>
      <c r="AM130" s="348">
        <f>AM132+AM135</f>
        <v>4133.92</v>
      </c>
      <c r="AN130" s="350">
        <f>AN132+AN135</f>
        <v>5</v>
      </c>
      <c r="AO130" s="348">
        <f>AL130-AI130</f>
        <v>-2977</v>
      </c>
      <c r="AP130" s="348">
        <f>AM130-AJ130</f>
        <v>-3334.2400000000007</v>
      </c>
      <c r="AQ130" s="348">
        <f>AN130-AK130</f>
        <v>0</v>
      </c>
      <c r="AR130" s="293">
        <f>IF(AI130=0,"",AL130/AI130)</f>
        <v>0.55353929214157171</v>
      </c>
      <c r="AS130" s="349">
        <f>AS132+AS135</f>
        <v>0</v>
      </c>
      <c r="AT130" s="349">
        <f>AT132+AT135</f>
        <v>0</v>
      </c>
      <c r="AU130" s="349">
        <f>AU132+AU135</f>
        <v>0</v>
      </c>
      <c r="AV130" s="348">
        <f>AV132+AV135</f>
        <v>7367</v>
      </c>
      <c r="AW130" s="348">
        <f>AW132+AW135</f>
        <v>8251.0400000000009</v>
      </c>
      <c r="AX130" s="348">
        <f>AX132+AX135</f>
        <v>5</v>
      </c>
      <c r="AY130" s="348">
        <f>AY132+AY135</f>
        <v>0</v>
      </c>
      <c r="AZ130" s="348">
        <f>AZ132+AZ135</f>
        <v>-2976.9999999999995</v>
      </c>
      <c r="BA130" s="348">
        <f>BA132+BA135</f>
        <v>0</v>
      </c>
      <c r="BB130" s="348">
        <f>BB132+BB135</f>
        <v>0</v>
      </c>
      <c r="BC130" s="348">
        <f>BC132+BC135</f>
        <v>0</v>
      </c>
      <c r="BD130" s="348">
        <f>BD132+BD135</f>
        <v>0</v>
      </c>
      <c r="BE130" s="348">
        <f>BE132+BE135</f>
        <v>0</v>
      </c>
      <c r="BF130" s="348">
        <f>BF132+BF135</f>
        <v>0</v>
      </c>
      <c r="BG130" s="348">
        <f>BG132+BG135</f>
        <v>0</v>
      </c>
      <c r="BH130" s="348">
        <f>BH132+BH135</f>
        <v>0</v>
      </c>
      <c r="BI130" s="348">
        <f>BI132+BI135</f>
        <v>0</v>
      </c>
      <c r="BJ130" s="348">
        <f>BJ132+BJ135</f>
        <v>0</v>
      </c>
      <c r="BK130" s="348">
        <f>BK132+BK135</f>
        <v>0</v>
      </c>
      <c r="BL130" s="348">
        <f>BL132+BL135</f>
        <v>0</v>
      </c>
      <c r="BM130" s="358" t="s">
        <v>82</v>
      </c>
      <c r="BN130" s="389"/>
      <c r="BO130" s="348">
        <f>BO132+BO135</f>
        <v>0</v>
      </c>
      <c r="BP130" s="348">
        <f>BP132+BP135</f>
        <v>0</v>
      </c>
      <c r="BQ130" s="348">
        <f>BQ132+BQ135</f>
        <v>0</v>
      </c>
      <c r="BR130" s="389"/>
      <c r="BS130" s="389"/>
      <c r="BT130" s="389"/>
      <c r="BW130" s="290"/>
      <c r="BX130" s="289"/>
    </row>
    <row r="131" spans="1:76" s="288" customFormat="1" ht="18" customHeight="1" x14ac:dyDescent="0.25">
      <c r="A131" s="200"/>
      <c r="B131" s="235"/>
      <c r="C131" s="304" t="s">
        <v>6</v>
      </c>
      <c r="D131" s="357"/>
      <c r="E131" s="355">
        <f>E133+E136</f>
        <v>6668</v>
      </c>
      <c r="F131" s="355">
        <f>F133+F136</f>
        <v>7468.1600000000008</v>
      </c>
      <c r="G131" s="357"/>
      <c r="H131" s="356"/>
      <c r="I131" s="355">
        <f>I133+I136</f>
        <v>6668</v>
      </c>
      <c r="J131" s="355">
        <f>J133+J136</f>
        <v>7468.1600000000008</v>
      </c>
      <c r="K131" s="367"/>
      <c r="L131" s="366"/>
      <c r="M131" s="365"/>
      <c r="N131" s="352">
        <f>N133+N136</f>
        <v>4731651.9999999991</v>
      </c>
      <c r="O131" s="352">
        <f>O133+O136</f>
        <v>5299450.24</v>
      </c>
      <c r="P131" s="352">
        <f>P133+P136</f>
        <v>4731651.9999999991</v>
      </c>
      <c r="Q131" s="352">
        <f>Q133+Q136</f>
        <v>5299450.24</v>
      </c>
      <c r="R131" s="390"/>
      <c r="S131" s="297"/>
      <c r="T131" s="350"/>
      <c r="U131" s="350"/>
      <c r="V131" s="350"/>
      <c r="W131" s="350"/>
      <c r="X131" s="350"/>
      <c r="Y131" s="350"/>
      <c r="Z131" s="350"/>
      <c r="AA131" s="350"/>
      <c r="AB131" s="350"/>
      <c r="AC131" s="350"/>
      <c r="AD131" s="350"/>
      <c r="AE131" s="350"/>
      <c r="AF131" s="350"/>
      <c r="AG131" s="350"/>
      <c r="AH131" s="350"/>
      <c r="AI131" s="350">
        <f>AI133+AI136</f>
        <v>6668</v>
      </c>
      <c r="AJ131" s="350">
        <f>AJ133+AJ136</f>
        <v>7468.1600000000008</v>
      </c>
      <c r="AK131" s="350">
        <f>AK133+AK136</f>
        <v>0</v>
      </c>
      <c r="AL131" s="350">
        <f>AL133+AL136</f>
        <v>3301.2972946428567</v>
      </c>
      <c r="AM131" s="348">
        <f>AM133+AM136</f>
        <v>3697.4529699999998</v>
      </c>
      <c r="AN131" s="350">
        <f>AN133+AN136</f>
        <v>0</v>
      </c>
      <c r="AO131" s="348">
        <f>AL131-AI131</f>
        <v>-3366.7027053571433</v>
      </c>
      <c r="AP131" s="348">
        <f>AM131-AJ131</f>
        <v>-3770.7070300000009</v>
      </c>
      <c r="AQ131" s="348">
        <f>AN131-AK131</f>
        <v>0</v>
      </c>
      <c r="AR131" s="293">
        <f>IF(AI131=0,"",AL131/AI131)</f>
        <v>0.49509557508141222</v>
      </c>
      <c r="AS131" s="349">
        <f>AS133+AS136</f>
        <v>0</v>
      </c>
      <c r="AT131" s="349">
        <f>AT133+AT136</f>
        <v>3301.2972946428567</v>
      </c>
      <c r="AU131" s="349">
        <f>AU133+AU136</f>
        <v>0</v>
      </c>
      <c r="AV131" s="348">
        <f>AV133+AV136</f>
        <v>7252.3424107142855</v>
      </c>
      <c r="AW131" s="348">
        <f>AW133+AW136</f>
        <v>8122.6235000000006</v>
      </c>
      <c r="AX131" s="348">
        <f>AX133+AX136</f>
        <v>0</v>
      </c>
      <c r="AY131" s="348">
        <f>AY133+AY136</f>
        <v>0</v>
      </c>
      <c r="AZ131" s="348">
        <f>AZ133+AZ136</f>
        <v>0</v>
      </c>
      <c r="BA131" s="348">
        <f>BA133+BA136</f>
        <v>0</v>
      </c>
      <c r="BB131" s="348">
        <f>BB133+BB136</f>
        <v>0</v>
      </c>
      <c r="BC131" s="348">
        <f>BC133+BC136</f>
        <v>0</v>
      </c>
      <c r="BD131" s="348">
        <f>BD133+BD136</f>
        <v>0</v>
      </c>
      <c r="BE131" s="348">
        <f>BE133+BE136</f>
        <v>0</v>
      </c>
      <c r="BF131" s="348">
        <f>BF133+BF136</f>
        <v>0</v>
      </c>
      <c r="BG131" s="348">
        <f>BG133+BG136</f>
        <v>0</v>
      </c>
      <c r="BH131" s="348">
        <f>BH133+BH136</f>
        <v>0</v>
      </c>
      <c r="BI131" s="348">
        <f>BI133+BI136</f>
        <v>0</v>
      </c>
      <c r="BJ131" s="348">
        <f>BJ133+BJ136</f>
        <v>0</v>
      </c>
      <c r="BK131" s="348">
        <f>BK133+BK136</f>
        <v>0</v>
      </c>
      <c r="BL131" s="348">
        <f>BL133+BL136</f>
        <v>0</v>
      </c>
      <c r="BM131" s="358"/>
      <c r="BN131" s="389"/>
      <c r="BO131" s="348">
        <f>BO133+BO136</f>
        <v>0</v>
      </c>
      <c r="BP131" s="348">
        <f>BP133+BP136</f>
        <v>0</v>
      </c>
      <c r="BQ131" s="348">
        <f>BQ133+BQ136</f>
        <v>0</v>
      </c>
      <c r="BR131" s="389"/>
      <c r="BS131" s="389"/>
      <c r="BT131" s="389"/>
      <c r="BW131" s="290"/>
      <c r="BX131" s="289"/>
    </row>
    <row r="132" spans="1:76" s="383" customFormat="1" ht="18" customHeight="1" x14ac:dyDescent="0.25">
      <c r="A132" s="200"/>
      <c r="B132" s="235"/>
      <c r="C132" s="214" t="s">
        <v>9</v>
      </c>
      <c r="D132" s="214" t="s">
        <v>8</v>
      </c>
      <c r="E132" s="213">
        <v>6668</v>
      </c>
      <c r="F132" s="213">
        <f>E132*1.12</f>
        <v>7468.1600000000008</v>
      </c>
      <c r="G132" s="243">
        <v>1818</v>
      </c>
      <c r="H132" s="242">
        <v>5</v>
      </c>
      <c r="I132" s="212">
        <v>6668</v>
      </c>
      <c r="J132" s="212">
        <f>I132*1.12</f>
        <v>7468.1600000000008</v>
      </c>
      <c r="K132" s="238" t="s">
        <v>44</v>
      </c>
      <c r="L132" s="237" t="s">
        <v>89</v>
      </c>
      <c r="M132" s="211" t="s">
        <v>13</v>
      </c>
      <c r="N132" s="210">
        <f>P132</f>
        <v>3807999.9999999995</v>
      </c>
      <c r="O132" s="210">
        <f>Q132</f>
        <v>4264960</v>
      </c>
      <c r="P132" s="210">
        <f>Q132/1.12</f>
        <v>3807999.9999999995</v>
      </c>
      <c r="Q132" s="210">
        <v>4264960</v>
      </c>
      <c r="R132" s="113" t="s">
        <v>85</v>
      </c>
      <c r="S132" s="208">
        <v>4</v>
      </c>
      <c r="T132" s="315"/>
      <c r="U132" s="315"/>
      <c r="V132" s="315"/>
      <c r="W132" s="315"/>
      <c r="X132" s="315"/>
      <c r="Y132" s="315"/>
      <c r="Z132" s="206"/>
      <c r="AA132" s="206"/>
      <c r="AB132" s="206"/>
      <c r="AC132" s="206"/>
      <c r="AD132" s="206"/>
      <c r="AE132" s="206"/>
      <c r="AF132" s="388">
        <f>Z132+AC132</f>
        <v>0</v>
      </c>
      <c r="AG132" s="388">
        <f>AA132+AD132</f>
        <v>0</v>
      </c>
      <c r="AH132" s="388">
        <f>AB132+AE132</f>
        <v>0</v>
      </c>
      <c r="AI132" s="206">
        <f>4001+2667</f>
        <v>6668</v>
      </c>
      <c r="AJ132" s="206">
        <f>AI132*1.12</f>
        <v>7468.1600000000008</v>
      </c>
      <c r="AK132" s="206">
        <f>3+2</f>
        <v>5</v>
      </c>
      <c r="AL132" s="206">
        <v>2992</v>
      </c>
      <c r="AM132" s="203">
        <f>AL132*1.12</f>
        <v>3351.0400000000004</v>
      </c>
      <c r="AN132" s="206">
        <f>4</f>
        <v>4</v>
      </c>
      <c r="AO132" s="203">
        <f>AL132-AI132/AK132*S132</f>
        <v>-2342.3999999999996</v>
      </c>
      <c r="AP132" s="203">
        <f>AO132*1.12</f>
        <v>-2623.4879999999998</v>
      </c>
      <c r="AQ132" s="203">
        <f>AN132-S132</f>
        <v>0</v>
      </c>
      <c r="AR132" s="205"/>
      <c r="AS132" s="204"/>
      <c r="AT132" s="204"/>
      <c r="AU132" s="204"/>
      <c r="AV132" s="203">
        <f>E132</f>
        <v>6668</v>
      </c>
      <c r="AW132" s="203">
        <f>AV132*1.12</f>
        <v>7468.1600000000008</v>
      </c>
      <c r="AX132" s="203">
        <f>H132</f>
        <v>5</v>
      </c>
      <c r="AY132" s="203"/>
      <c r="AZ132" s="203">
        <f>AL132-AI132/AK132*AN132</f>
        <v>-2342.3999999999996</v>
      </c>
      <c r="BA132" s="203"/>
      <c r="BB132" s="203"/>
      <c r="BC132" s="203"/>
      <c r="BD132" s="203"/>
      <c r="BE132" s="203"/>
      <c r="BF132" s="203"/>
      <c r="BG132" s="203"/>
      <c r="BH132" s="203"/>
      <c r="BI132" s="203"/>
      <c r="BJ132" s="203"/>
      <c r="BK132" s="203"/>
      <c r="BL132" s="203"/>
      <c r="BM132" s="387"/>
      <c r="BN132" s="385"/>
      <c r="BO132" s="202"/>
      <c r="BP132" s="202"/>
      <c r="BQ132" s="202"/>
      <c r="BR132" s="386"/>
      <c r="BS132" s="386"/>
      <c r="BT132" s="202"/>
      <c r="BW132" s="385"/>
      <c r="BX132" s="384"/>
    </row>
    <row r="133" spans="1:76" ht="18" customHeight="1" x14ac:dyDescent="0.25">
      <c r="A133" s="200"/>
      <c r="B133" s="235"/>
      <c r="C133" s="70" t="s">
        <v>6</v>
      </c>
      <c r="D133" s="70" t="s">
        <v>26</v>
      </c>
      <c r="E133" s="198">
        <f>E134</f>
        <v>6668</v>
      </c>
      <c r="F133" s="198">
        <f>F134</f>
        <v>7468.1600000000008</v>
      </c>
      <c r="G133" s="197"/>
      <c r="H133" s="196"/>
      <c r="I133" s="195">
        <f>I134</f>
        <v>6668</v>
      </c>
      <c r="J133" s="195">
        <f>J134</f>
        <v>7468.1600000000008</v>
      </c>
      <c r="K133" s="236"/>
      <c r="L133" s="235"/>
      <c r="M133" s="193"/>
      <c r="N133" s="50">
        <f>P133</f>
        <v>3807999.9999999995</v>
      </c>
      <c r="O133" s="50">
        <f>Q133</f>
        <v>4264960</v>
      </c>
      <c r="P133" s="50">
        <f>Q133/1.12</f>
        <v>3807999.9999999995</v>
      </c>
      <c r="Q133" s="50">
        <f>Q132</f>
        <v>4264960</v>
      </c>
      <c r="R133" s="113"/>
      <c r="S133" s="190"/>
      <c r="T133" s="47"/>
      <c r="U133" s="47"/>
      <c r="V133" s="47"/>
      <c r="W133" s="47"/>
      <c r="X133" s="47"/>
      <c r="Y133" s="47"/>
      <c r="Z133" s="66"/>
      <c r="AA133" s="66"/>
      <c r="AB133" s="66"/>
      <c r="AC133" s="66"/>
      <c r="AD133" s="66"/>
      <c r="AE133" s="66"/>
      <c r="AF133" s="46">
        <f>Z133+AC133</f>
        <v>0</v>
      </c>
      <c r="AG133" s="46">
        <f>AA133+AD133</f>
        <v>0</v>
      </c>
      <c r="AH133" s="46">
        <f>AB133+AE133</f>
        <v>0</v>
      </c>
      <c r="AI133" s="66">
        <f>4001+2667</f>
        <v>6668</v>
      </c>
      <c r="AJ133" s="66">
        <f>AJ134</f>
        <v>7468.1600000000008</v>
      </c>
      <c r="AK133" s="66"/>
      <c r="AL133" s="117">
        <f>AL134</f>
        <v>2716.9548839285712</v>
      </c>
      <c r="AM133" s="64">
        <f>AM134</f>
        <v>3042.98947</v>
      </c>
      <c r="AN133" s="66"/>
      <c r="AO133" s="64">
        <f>AL133-AI133/AK132*S132</f>
        <v>-2617.4451160714284</v>
      </c>
      <c r="AP133" s="64">
        <f>AO133*1.12</f>
        <v>-2931.5385300000003</v>
      </c>
      <c r="AQ133" s="62"/>
      <c r="AR133" s="189"/>
      <c r="AS133" s="115"/>
      <c r="AT133" s="115">
        <f>AL133</f>
        <v>2716.9548839285712</v>
      </c>
      <c r="AU133" s="63"/>
      <c r="AV133" s="64">
        <f>E133</f>
        <v>6668</v>
      </c>
      <c r="AW133" s="62">
        <f>AV133*1.12</f>
        <v>7468.1600000000008</v>
      </c>
      <c r="AX133" s="62"/>
      <c r="AY133" s="62"/>
      <c r="AZ133" s="62"/>
      <c r="BA133" s="62"/>
      <c r="BB133" s="62"/>
      <c r="BC133" s="62"/>
      <c r="BD133" s="62"/>
      <c r="BE133" s="62"/>
      <c r="BF133" s="62"/>
      <c r="BG133" s="62"/>
      <c r="BH133" s="62"/>
      <c r="BI133" s="62"/>
      <c r="BJ133" s="62"/>
      <c r="BK133" s="62"/>
      <c r="BL133" s="62"/>
      <c r="BM133" s="53"/>
      <c r="BN133" s="39"/>
      <c r="BO133" s="59"/>
      <c r="BP133" s="59"/>
      <c r="BQ133" s="59"/>
      <c r="BR133" s="323"/>
      <c r="BS133" s="323"/>
      <c r="BT133" s="59"/>
      <c r="BW133" s="39"/>
      <c r="BX133" s="38"/>
    </row>
    <row r="134" spans="1:76" ht="18" customHeight="1" x14ac:dyDescent="0.25">
      <c r="A134" s="200"/>
      <c r="B134" s="235"/>
      <c r="C134" s="53" t="s">
        <v>6</v>
      </c>
      <c r="D134" s="53" t="s">
        <v>5</v>
      </c>
      <c r="E134" s="186">
        <f>E132</f>
        <v>6668</v>
      </c>
      <c r="F134" s="186">
        <f>E134*1.12</f>
        <v>7468.1600000000008</v>
      </c>
      <c r="G134" s="197"/>
      <c r="H134" s="196"/>
      <c r="I134" s="183">
        <v>6668</v>
      </c>
      <c r="J134" s="183">
        <f>I134*1.12</f>
        <v>7468.1600000000008</v>
      </c>
      <c r="K134" s="234"/>
      <c r="L134" s="233"/>
      <c r="M134" s="181"/>
      <c r="N134" s="50">
        <f>P134</f>
        <v>3807999.9999999995</v>
      </c>
      <c r="O134" s="50">
        <f>Q134</f>
        <v>4264960</v>
      </c>
      <c r="P134" s="50">
        <f>Q134/1.12</f>
        <v>3807999.9999999995</v>
      </c>
      <c r="Q134" s="50">
        <f>Q133</f>
        <v>4264960</v>
      </c>
      <c r="R134" s="113"/>
      <c r="S134" s="179"/>
      <c r="T134" s="47"/>
      <c r="U134" s="47"/>
      <c r="V134" s="47"/>
      <c r="W134" s="47"/>
      <c r="X134" s="47"/>
      <c r="Y134" s="47"/>
      <c r="Z134" s="46"/>
      <c r="AA134" s="46"/>
      <c r="AB134" s="46"/>
      <c r="AC134" s="46"/>
      <c r="AD134" s="46"/>
      <c r="AE134" s="46"/>
      <c r="AF134" s="46">
        <f>Z134+AC134</f>
        <v>0</v>
      </c>
      <c r="AG134" s="46">
        <f>AA134+AD134</f>
        <v>0</v>
      </c>
      <c r="AH134" s="46">
        <f>AB134+AE134</f>
        <v>0</v>
      </c>
      <c r="AI134" s="46">
        <f>AI133</f>
        <v>6668</v>
      </c>
      <c r="AJ134" s="46">
        <f>AI134*1.12</f>
        <v>7468.1600000000008</v>
      </c>
      <c r="AK134" s="46"/>
      <c r="AL134" s="392">
        <f>3042.98947/1.12</f>
        <v>2716.9548839285712</v>
      </c>
      <c r="AM134" s="44">
        <f>AL134*1.12</f>
        <v>3042.98947</v>
      </c>
      <c r="AN134" s="46"/>
      <c r="AO134" s="44">
        <f>AO133</f>
        <v>-2617.4451160714284</v>
      </c>
      <c r="AP134" s="44">
        <f>AP133</f>
        <v>-2931.5385300000003</v>
      </c>
      <c r="AQ134" s="62"/>
      <c r="AR134" s="189"/>
      <c r="AS134" s="101"/>
      <c r="AT134" s="101">
        <f>AL134</f>
        <v>2716.9548839285712</v>
      </c>
      <c r="AU134" s="42"/>
      <c r="AV134" s="44">
        <f>AV133</f>
        <v>6668</v>
      </c>
      <c r="AW134" s="41">
        <f>AV134*1.12</f>
        <v>7468.1600000000008</v>
      </c>
      <c r="AX134" s="41"/>
      <c r="AY134" s="62"/>
      <c r="AZ134" s="41"/>
      <c r="BA134" s="41"/>
      <c r="BB134" s="41"/>
      <c r="BC134" s="41"/>
      <c r="BD134" s="41"/>
      <c r="BE134" s="41"/>
      <c r="BF134" s="62"/>
      <c r="BG134" s="41"/>
      <c r="BH134" s="41"/>
      <c r="BI134" s="41"/>
      <c r="BJ134" s="41"/>
      <c r="BK134" s="41"/>
      <c r="BL134" s="41"/>
      <c r="BM134" s="53"/>
      <c r="BN134" s="39"/>
      <c r="BO134" s="39"/>
      <c r="BP134" s="39"/>
      <c r="BQ134" s="39"/>
      <c r="BR134" s="323"/>
      <c r="BS134" s="323"/>
      <c r="BT134" s="39"/>
      <c r="BW134" s="39"/>
      <c r="BX134" s="38"/>
    </row>
    <row r="135" spans="1:76" s="201" customFormat="1" ht="18" customHeight="1" x14ac:dyDescent="0.25">
      <c r="A135" s="200"/>
      <c r="B135" s="235"/>
      <c r="C135" s="214" t="s">
        <v>9</v>
      </c>
      <c r="D135" s="214" t="s">
        <v>8</v>
      </c>
      <c r="E135" s="213"/>
      <c r="F135" s="213"/>
      <c r="G135" s="197"/>
      <c r="H135" s="196"/>
      <c r="I135" s="212"/>
      <c r="J135" s="212"/>
      <c r="K135" s="238" t="s">
        <v>34</v>
      </c>
      <c r="L135" s="237" t="s">
        <v>88</v>
      </c>
      <c r="M135" s="211" t="s">
        <v>13</v>
      </c>
      <c r="N135" s="210">
        <f>P135</f>
        <v>923651.99999999988</v>
      </c>
      <c r="O135" s="210">
        <f>Q135</f>
        <v>1034490.24</v>
      </c>
      <c r="P135" s="210">
        <f>Q135/1.12</f>
        <v>923651.99999999988</v>
      </c>
      <c r="Q135" s="210">
        <v>1034490.24</v>
      </c>
      <c r="R135" s="113" t="s">
        <v>85</v>
      </c>
      <c r="S135" s="208">
        <v>1</v>
      </c>
      <c r="T135" s="315"/>
      <c r="U135" s="315"/>
      <c r="V135" s="315"/>
      <c r="W135" s="315"/>
      <c r="X135" s="315"/>
      <c r="Y135" s="315"/>
      <c r="Z135" s="206"/>
      <c r="AA135" s="206"/>
      <c r="AB135" s="206"/>
      <c r="AC135" s="206"/>
      <c r="AD135" s="206"/>
      <c r="AE135" s="206"/>
      <c r="AF135" s="206"/>
      <c r="AG135" s="206"/>
      <c r="AH135" s="206"/>
      <c r="AI135" s="206"/>
      <c r="AJ135" s="206"/>
      <c r="AK135" s="206"/>
      <c r="AL135" s="206">
        <v>699</v>
      </c>
      <c r="AM135" s="203">
        <f>AL135*1.12</f>
        <v>782.88000000000011</v>
      </c>
      <c r="AN135" s="206">
        <f>1</f>
        <v>1</v>
      </c>
      <c r="AO135" s="203">
        <f>AL135-AI132/AK132*S135</f>
        <v>-634.59999999999991</v>
      </c>
      <c r="AP135" s="203">
        <f>AO135*1.12</f>
        <v>-710.75199999999995</v>
      </c>
      <c r="AQ135" s="203">
        <f>AN135-S135</f>
        <v>0</v>
      </c>
      <c r="AR135" s="205" t="str">
        <f>IF(AI135=0,"",AL135/AI135)</f>
        <v/>
      </c>
      <c r="AS135" s="204"/>
      <c r="AT135" s="204"/>
      <c r="AU135" s="204"/>
      <c r="AV135" s="203">
        <f>AL135</f>
        <v>699</v>
      </c>
      <c r="AW135" s="203">
        <f>AV135*1.12</f>
        <v>782.88000000000011</v>
      </c>
      <c r="AX135" s="203"/>
      <c r="AY135" s="203"/>
      <c r="AZ135" s="203">
        <f>AL135-AI132/AK132*AN135</f>
        <v>-634.59999999999991</v>
      </c>
      <c r="BA135" s="203"/>
      <c r="BB135" s="203"/>
      <c r="BC135" s="203"/>
      <c r="BD135" s="203"/>
      <c r="BE135" s="203"/>
      <c r="BF135" s="203"/>
      <c r="BG135" s="203"/>
      <c r="BH135" s="203"/>
      <c r="BI135" s="203"/>
      <c r="BJ135" s="203"/>
      <c r="BK135" s="203"/>
      <c r="BL135" s="203"/>
      <c r="BM135" s="214"/>
      <c r="BN135" s="202"/>
      <c r="BO135" s="202"/>
      <c r="BP135" s="202"/>
      <c r="BQ135" s="202"/>
      <c r="BR135" s="334"/>
      <c r="BS135" s="334"/>
      <c r="BT135" s="202"/>
      <c r="BW135" s="202"/>
      <c r="BX135" s="314"/>
    </row>
    <row r="136" spans="1:76" s="57" customFormat="1" ht="18" customHeight="1" x14ac:dyDescent="0.25">
      <c r="A136" s="200"/>
      <c r="B136" s="235"/>
      <c r="C136" s="70" t="s">
        <v>6</v>
      </c>
      <c r="D136" s="70" t="s">
        <v>26</v>
      </c>
      <c r="E136" s="198"/>
      <c r="F136" s="198"/>
      <c r="G136" s="197"/>
      <c r="H136" s="196"/>
      <c r="I136" s="195"/>
      <c r="J136" s="195"/>
      <c r="K136" s="236"/>
      <c r="L136" s="235"/>
      <c r="M136" s="193"/>
      <c r="N136" s="50">
        <f>P136</f>
        <v>923651.99999999988</v>
      </c>
      <c r="O136" s="50">
        <f>Q136</f>
        <v>1034490.24</v>
      </c>
      <c r="P136" s="51">
        <f>Q136/1.12</f>
        <v>923651.99999999988</v>
      </c>
      <c r="Q136" s="51">
        <f>Q135</f>
        <v>1034490.24</v>
      </c>
      <c r="R136" s="113"/>
      <c r="S136" s="190"/>
      <c r="T136" s="47"/>
      <c r="U136" s="47"/>
      <c r="V136" s="47"/>
      <c r="W136" s="47"/>
      <c r="X136" s="47"/>
      <c r="Y136" s="47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117">
        <f>654.4635/1.12</f>
        <v>584.34241071428562</v>
      </c>
      <c r="AM136" s="64">
        <f>AL136*1.12</f>
        <v>654.46349999999995</v>
      </c>
      <c r="AN136" s="66"/>
      <c r="AO136" s="64">
        <f>AL136-AI133/AK132*S135</f>
        <v>-749.25758928571429</v>
      </c>
      <c r="AP136" s="64">
        <f>AO136*1.12</f>
        <v>-839.16850000000011</v>
      </c>
      <c r="AQ136" s="62"/>
      <c r="AR136" s="189" t="str">
        <f>IF(AI136=0,"",AL136/AI136)</f>
        <v/>
      </c>
      <c r="AS136" s="115"/>
      <c r="AT136" s="115">
        <f>AL136</f>
        <v>584.34241071428562</v>
      </c>
      <c r="AU136" s="63"/>
      <c r="AV136" s="64">
        <f>AL136</f>
        <v>584.34241071428562</v>
      </c>
      <c r="AW136" s="62">
        <f>AV136*1.12</f>
        <v>654.46349999999995</v>
      </c>
      <c r="AX136" s="62"/>
      <c r="AY136" s="62"/>
      <c r="AZ136" s="62"/>
      <c r="BA136" s="62"/>
      <c r="BB136" s="62"/>
      <c r="BC136" s="62"/>
      <c r="BD136" s="62"/>
      <c r="BE136" s="62"/>
      <c r="BF136" s="62"/>
      <c r="BG136" s="62"/>
      <c r="BH136" s="62"/>
      <c r="BI136" s="62"/>
      <c r="BJ136" s="62"/>
      <c r="BK136" s="62"/>
      <c r="BL136" s="62"/>
      <c r="BM136" s="70"/>
      <c r="BN136" s="59"/>
      <c r="BO136" s="59"/>
      <c r="BP136" s="59"/>
      <c r="BQ136" s="59"/>
      <c r="BR136" s="330"/>
      <c r="BS136" s="330"/>
      <c r="BT136" s="59"/>
      <c r="BW136" s="59"/>
      <c r="BX136" s="58"/>
    </row>
    <row r="137" spans="1:76" ht="18" customHeight="1" x14ac:dyDescent="0.25">
      <c r="A137" s="55"/>
      <c r="B137" s="233"/>
      <c r="C137" s="53" t="s">
        <v>6</v>
      </c>
      <c r="D137" s="53" t="s">
        <v>5</v>
      </c>
      <c r="E137" s="186"/>
      <c r="F137" s="186"/>
      <c r="G137" s="185"/>
      <c r="H137" s="184"/>
      <c r="I137" s="183"/>
      <c r="J137" s="183"/>
      <c r="K137" s="234"/>
      <c r="L137" s="233"/>
      <c r="M137" s="181"/>
      <c r="N137" s="50">
        <f>P137</f>
        <v>923651.99999999988</v>
      </c>
      <c r="O137" s="50">
        <f>Q137</f>
        <v>1034490.24</v>
      </c>
      <c r="P137" s="50">
        <f>Q137/1.12</f>
        <v>923651.99999999988</v>
      </c>
      <c r="Q137" s="50">
        <f>Q136</f>
        <v>1034490.24</v>
      </c>
      <c r="R137" s="113"/>
      <c r="S137" s="179"/>
      <c r="T137" s="47"/>
      <c r="U137" s="47"/>
      <c r="V137" s="47"/>
      <c r="W137" s="47"/>
      <c r="X137" s="47"/>
      <c r="Y137" s="47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391">
        <f>AL136</f>
        <v>584.34241071428562</v>
      </c>
      <c r="AM137" s="44">
        <f>AM136</f>
        <v>654.46349999999995</v>
      </c>
      <c r="AN137" s="46"/>
      <c r="AO137" s="44">
        <f>AO136</f>
        <v>-749.25758928571429</v>
      </c>
      <c r="AP137" s="44">
        <f>AP136</f>
        <v>-839.16850000000011</v>
      </c>
      <c r="AQ137" s="62"/>
      <c r="AR137" s="189" t="str">
        <f>IF(AI137=0,"",AL137/AI137)</f>
        <v/>
      </c>
      <c r="AS137" s="101"/>
      <c r="AT137" s="101">
        <f>AL137</f>
        <v>584.34241071428562</v>
      </c>
      <c r="AU137" s="42"/>
      <c r="AV137" s="44">
        <f>AL137</f>
        <v>584.34241071428562</v>
      </c>
      <c r="AW137" s="41">
        <f>AV137*1.12</f>
        <v>654.46349999999995</v>
      </c>
      <c r="AX137" s="41"/>
      <c r="AY137" s="62"/>
      <c r="AZ137" s="41"/>
      <c r="BA137" s="41"/>
      <c r="BB137" s="41"/>
      <c r="BC137" s="41"/>
      <c r="BD137" s="41"/>
      <c r="BE137" s="41"/>
      <c r="BF137" s="62"/>
      <c r="BG137" s="41"/>
      <c r="BH137" s="41"/>
      <c r="BI137" s="41"/>
      <c r="BJ137" s="41"/>
      <c r="BK137" s="41"/>
      <c r="BL137" s="41"/>
      <c r="BM137" s="53"/>
      <c r="BN137" s="39"/>
      <c r="BO137" s="39"/>
      <c r="BP137" s="39"/>
      <c r="BQ137" s="39"/>
      <c r="BR137" s="323"/>
      <c r="BS137" s="323"/>
      <c r="BT137" s="39"/>
      <c r="BW137" s="39"/>
      <c r="BX137" s="38"/>
    </row>
    <row r="138" spans="1:76" s="288" customFormat="1" ht="25.5" customHeight="1" x14ac:dyDescent="0.25">
      <c r="A138" s="72">
        <v>1</v>
      </c>
      <c r="B138" s="217" t="s">
        <v>105</v>
      </c>
      <c r="C138" s="304" t="s">
        <v>9</v>
      </c>
      <c r="D138" s="290"/>
      <c r="E138" s="355">
        <f>E140+E143</f>
        <v>6378</v>
      </c>
      <c r="F138" s="355">
        <f>F140+F143</f>
        <v>7143.3600000000006</v>
      </c>
      <c r="G138" s="357"/>
      <c r="H138" s="356">
        <f>H140</f>
        <v>5</v>
      </c>
      <c r="I138" s="355">
        <f>I140+I143</f>
        <v>6378</v>
      </c>
      <c r="J138" s="355">
        <f>J140+J143</f>
        <v>7143.3600000000006</v>
      </c>
      <c r="K138" s="370" t="s">
        <v>104</v>
      </c>
      <c r="L138" s="369"/>
      <c r="M138" s="368"/>
      <c r="N138" s="352">
        <f>N140+N143</f>
        <v>4337210.9464285709</v>
      </c>
      <c r="O138" s="352">
        <f>O140+O143</f>
        <v>4857676.26</v>
      </c>
      <c r="P138" s="352">
        <f>P140+P143</f>
        <v>4337210.9464285709</v>
      </c>
      <c r="Q138" s="352">
        <f>Q140+Q143</f>
        <v>4857676.26</v>
      </c>
      <c r="R138" s="390"/>
      <c r="S138" s="297">
        <f>S140+S143</f>
        <v>5</v>
      </c>
      <c r="T138" s="350"/>
      <c r="U138" s="350"/>
      <c r="V138" s="350"/>
      <c r="W138" s="350"/>
      <c r="X138" s="350"/>
      <c r="Y138" s="350"/>
      <c r="Z138" s="350"/>
      <c r="AA138" s="350"/>
      <c r="AB138" s="350"/>
      <c r="AC138" s="350"/>
      <c r="AD138" s="350"/>
      <c r="AE138" s="350"/>
      <c r="AF138" s="350"/>
      <c r="AG138" s="350"/>
      <c r="AH138" s="350"/>
      <c r="AI138" s="350">
        <f>AI140+AI143</f>
        <v>6378</v>
      </c>
      <c r="AJ138" s="350">
        <f>AJ140+AJ143</f>
        <v>7143.3600000000006</v>
      </c>
      <c r="AK138" s="350">
        <f>AK140+AK143</f>
        <v>5</v>
      </c>
      <c r="AL138" s="350">
        <f>AL140+AL143</f>
        <v>3617</v>
      </c>
      <c r="AM138" s="348">
        <f>AM140+AM143</f>
        <v>4051.0400000000004</v>
      </c>
      <c r="AN138" s="350">
        <f>AN140+AN143</f>
        <v>5</v>
      </c>
      <c r="AO138" s="348">
        <f>AL138-AI138</f>
        <v>-2761</v>
      </c>
      <c r="AP138" s="348">
        <f>AM138-AJ138</f>
        <v>-3092.32</v>
      </c>
      <c r="AQ138" s="348">
        <f>AN138-AK138</f>
        <v>0</v>
      </c>
      <c r="AR138" s="293">
        <f>IF(AI138=0,"",AL138/AI138)</f>
        <v>0.56710567576042648</v>
      </c>
      <c r="AS138" s="349">
        <f>AS140+AS143</f>
        <v>0</v>
      </c>
      <c r="AT138" s="349">
        <f>AT140+AT143</f>
        <v>0</v>
      </c>
      <c r="AU138" s="349">
        <f>AU140+AU143</f>
        <v>0</v>
      </c>
      <c r="AV138" s="348">
        <f>AV140+AV143</f>
        <v>6378</v>
      </c>
      <c r="AW138" s="348">
        <f>AW140+AW143</f>
        <v>7143.3600000000006</v>
      </c>
      <c r="AX138" s="348">
        <f>AX140+AX143</f>
        <v>5</v>
      </c>
      <c r="AY138" s="348">
        <f>AY140+AY143</f>
        <v>0</v>
      </c>
      <c r="AZ138" s="348">
        <f>AZ140+AZ143</f>
        <v>-2761</v>
      </c>
      <c r="BA138" s="348">
        <f>BA140+BA143</f>
        <v>0</v>
      </c>
      <c r="BB138" s="348">
        <f>BB140+BB143</f>
        <v>0</v>
      </c>
      <c r="BC138" s="348">
        <f>BC140+BC143</f>
        <v>0</v>
      </c>
      <c r="BD138" s="348">
        <f>BD140+BD143</f>
        <v>0</v>
      </c>
      <c r="BE138" s="348">
        <f>BE140+BE143</f>
        <v>0</v>
      </c>
      <c r="BF138" s="348">
        <f>BF140+BF143</f>
        <v>0</v>
      </c>
      <c r="BG138" s="348">
        <f>BG140+BG143</f>
        <v>0</v>
      </c>
      <c r="BH138" s="348">
        <f>BH140+BH143</f>
        <v>0</v>
      </c>
      <c r="BI138" s="348">
        <f>BI140+BI143</f>
        <v>0</v>
      </c>
      <c r="BJ138" s="348">
        <f>BJ140+BJ143</f>
        <v>0</v>
      </c>
      <c r="BK138" s="348">
        <f>BK140+BK143</f>
        <v>0</v>
      </c>
      <c r="BL138" s="348">
        <f>BL140+BL143</f>
        <v>0</v>
      </c>
      <c r="BM138" s="358" t="s">
        <v>82</v>
      </c>
      <c r="BN138" s="389"/>
      <c r="BO138" s="348">
        <f>BO140+BO143</f>
        <v>0</v>
      </c>
      <c r="BP138" s="348">
        <f>BP140+BP143</f>
        <v>0</v>
      </c>
      <c r="BQ138" s="348">
        <f>BQ140+BQ143</f>
        <v>0</v>
      </c>
      <c r="BR138" s="389"/>
      <c r="BS138" s="389"/>
      <c r="BT138" s="389"/>
      <c r="BW138" s="290"/>
      <c r="BX138" s="289"/>
    </row>
    <row r="139" spans="1:76" s="288" customFormat="1" ht="25.5" customHeight="1" x14ac:dyDescent="0.25">
      <c r="A139" s="200"/>
      <c r="B139" s="216"/>
      <c r="C139" s="304" t="s">
        <v>6</v>
      </c>
      <c r="D139" s="357"/>
      <c r="E139" s="355">
        <f>E141+E144</f>
        <v>6378</v>
      </c>
      <c r="F139" s="355">
        <f>F141+F144</f>
        <v>7143.3600000000006</v>
      </c>
      <c r="G139" s="357"/>
      <c r="H139" s="356"/>
      <c r="I139" s="355">
        <f>I141+I144</f>
        <v>6378</v>
      </c>
      <c r="J139" s="355">
        <f>J141+J144</f>
        <v>7143.3600000000006</v>
      </c>
      <c r="K139" s="367"/>
      <c r="L139" s="366"/>
      <c r="M139" s="365"/>
      <c r="N139" s="352">
        <f>N141+N144</f>
        <v>4337210.9464285709</v>
      </c>
      <c r="O139" s="352">
        <f>O141+O144</f>
        <v>4857676.26</v>
      </c>
      <c r="P139" s="352">
        <f>P141+P144</f>
        <v>4337210.9464285709</v>
      </c>
      <c r="Q139" s="352">
        <f>Q141+Q144</f>
        <v>4857676.26</v>
      </c>
      <c r="R139" s="390"/>
      <c r="S139" s="297"/>
      <c r="T139" s="350"/>
      <c r="U139" s="350"/>
      <c r="V139" s="350"/>
      <c r="W139" s="350"/>
      <c r="X139" s="350"/>
      <c r="Y139" s="350"/>
      <c r="Z139" s="350"/>
      <c r="AA139" s="350"/>
      <c r="AB139" s="350"/>
      <c r="AC139" s="350"/>
      <c r="AD139" s="350"/>
      <c r="AE139" s="350"/>
      <c r="AF139" s="350"/>
      <c r="AG139" s="350"/>
      <c r="AH139" s="350"/>
      <c r="AI139" s="350">
        <f>AI141+AI144</f>
        <v>6378</v>
      </c>
      <c r="AJ139" s="350">
        <f>AJ141+AJ144</f>
        <v>7143.3600000000006</v>
      </c>
      <c r="AK139" s="350">
        <f>AK141+AK144</f>
        <v>0</v>
      </c>
      <c r="AL139" s="350">
        <f>AL141+AL144</f>
        <v>2079.1523124999999</v>
      </c>
      <c r="AM139" s="348">
        <f>AM141+AM144</f>
        <v>2328.6505900000002</v>
      </c>
      <c r="AN139" s="350">
        <f>AN141+AN144</f>
        <v>0</v>
      </c>
      <c r="AO139" s="348">
        <f>AL139-AI139</f>
        <v>-4298.8476874999997</v>
      </c>
      <c r="AP139" s="348">
        <f>AM139-AJ139</f>
        <v>-4814.7094100000004</v>
      </c>
      <c r="AQ139" s="348">
        <f>AN139-AK139</f>
        <v>0</v>
      </c>
      <c r="AR139" s="293">
        <f>IF(AI139=0,"",AL139/AI139)</f>
        <v>0.32598813303543428</v>
      </c>
      <c r="AS139" s="349">
        <f>AS141+AS144</f>
        <v>0</v>
      </c>
      <c r="AT139" s="349">
        <f>AT141+AT144</f>
        <v>2079.1523124999999</v>
      </c>
      <c r="AU139" s="349">
        <f>AU141+AU144</f>
        <v>0</v>
      </c>
      <c r="AV139" s="348">
        <f>AV141+AV144</f>
        <v>6378</v>
      </c>
      <c r="AW139" s="348">
        <f>AW141+AW144</f>
        <v>7143.3600000000006</v>
      </c>
      <c r="AX139" s="348">
        <f>AX141+AX144</f>
        <v>0</v>
      </c>
      <c r="AY139" s="348">
        <f>AY141+AY144</f>
        <v>0</v>
      </c>
      <c r="AZ139" s="348">
        <f>AZ141+AZ144</f>
        <v>0</v>
      </c>
      <c r="BA139" s="348">
        <f>BA141+BA144</f>
        <v>0</v>
      </c>
      <c r="BB139" s="348">
        <f>BB141+BB144</f>
        <v>0</v>
      </c>
      <c r="BC139" s="348">
        <f>BC141+BC144</f>
        <v>0</v>
      </c>
      <c r="BD139" s="348">
        <f>BD141+BD144</f>
        <v>0</v>
      </c>
      <c r="BE139" s="348">
        <f>BE141+BE144</f>
        <v>0</v>
      </c>
      <c r="BF139" s="348">
        <f>BF141+BF144</f>
        <v>0</v>
      </c>
      <c r="BG139" s="348">
        <f>BG141+BG144</f>
        <v>0</v>
      </c>
      <c r="BH139" s="348">
        <f>BH141+BH144</f>
        <v>0</v>
      </c>
      <c r="BI139" s="348">
        <f>BI141+BI144</f>
        <v>0</v>
      </c>
      <c r="BJ139" s="348">
        <f>BJ141+BJ144</f>
        <v>0</v>
      </c>
      <c r="BK139" s="348">
        <f>BK141+BK144</f>
        <v>0</v>
      </c>
      <c r="BL139" s="348">
        <f>BL141+BL144</f>
        <v>0</v>
      </c>
      <c r="BM139" s="358"/>
      <c r="BN139" s="389"/>
      <c r="BO139" s="348">
        <f>BO141+BO144</f>
        <v>0</v>
      </c>
      <c r="BP139" s="348">
        <f>BP141+BP144</f>
        <v>0</v>
      </c>
      <c r="BQ139" s="348">
        <f>BQ141+BQ144</f>
        <v>0</v>
      </c>
      <c r="BR139" s="389"/>
      <c r="BS139" s="389"/>
      <c r="BT139" s="389"/>
      <c r="BW139" s="290"/>
      <c r="BX139" s="289"/>
    </row>
    <row r="140" spans="1:76" s="383" customFormat="1" ht="25.5" customHeight="1" x14ac:dyDescent="0.25">
      <c r="A140" s="200"/>
      <c r="B140" s="216"/>
      <c r="C140" s="214" t="s">
        <v>9</v>
      </c>
      <c r="D140" s="214" t="s">
        <v>8</v>
      </c>
      <c r="E140" s="213">
        <v>6378</v>
      </c>
      <c r="F140" s="213">
        <f>E140*1.12</f>
        <v>7143.3600000000006</v>
      </c>
      <c r="G140" s="243">
        <v>1818</v>
      </c>
      <c r="H140" s="242">
        <v>5</v>
      </c>
      <c r="I140" s="212">
        <v>6378</v>
      </c>
      <c r="J140" s="212">
        <f>I140*1.12</f>
        <v>7143.3600000000006</v>
      </c>
      <c r="K140" s="118" t="s">
        <v>34</v>
      </c>
      <c r="L140" s="237" t="s">
        <v>88</v>
      </c>
      <c r="M140" s="211" t="s">
        <v>13</v>
      </c>
      <c r="N140" s="210">
        <f>P140</f>
        <v>4337210.9464285709</v>
      </c>
      <c r="O140" s="210">
        <f>Q140</f>
        <v>4857676.26</v>
      </c>
      <c r="P140" s="210">
        <f>Q140/1.12</f>
        <v>4337210.9464285709</v>
      </c>
      <c r="Q140" s="210">
        <v>4857676.26</v>
      </c>
      <c r="R140" s="113" t="s">
        <v>87</v>
      </c>
      <c r="S140" s="208">
        <v>5</v>
      </c>
      <c r="T140" s="315"/>
      <c r="U140" s="315"/>
      <c r="V140" s="315"/>
      <c r="W140" s="315"/>
      <c r="X140" s="315"/>
      <c r="Y140" s="315"/>
      <c r="Z140" s="206"/>
      <c r="AA140" s="206"/>
      <c r="AB140" s="206"/>
      <c r="AC140" s="206"/>
      <c r="AD140" s="206"/>
      <c r="AE140" s="206"/>
      <c r="AF140" s="388">
        <f>Z140+AC140</f>
        <v>0</v>
      </c>
      <c r="AG140" s="388">
        <f>AA140+AD140</f>
        <v>0</v>
      </c>
      <c r="AH140" s="388">
        <f>AB140+AE140</f>
        <v>0</v>
      </c>
      <c r="AI140" s="206">
        <f>5103+1275</f>
        <v>6378</v>
      </c>
      <c r="AJ140" s="206">
        <f>AI140*1.12</f>
        <v>7143.3600000000006</v>
      </c>
      <c r="AK140" s="206">
        <f>4+1</f>
        <v>5</v>
      </c>
      <c r="AL140" s="206">
        <f>2202+2003-588</f>
        <v>3617</v>
      </c>
      <c r="AM140" s="203">
        <f>AL140*1.12</f>
        <v>4051.0400000000004</v>
      </c>
      <c r="AN140" s="206">
        <f>3+2</f>
        <v>5</v>
      </c>
      <c r="AO140" s="203">
        <f>AL140-AI140</f>
        <v>-2761</v>
      </c>
      <c r="AP140" s="203">
        <f>AM140-AJ140</f>
        <v>-3092.32</v>
      </c>
      <c r="AQ140" s="203">
        <f>AN140-S140</f>
        <v>0</v>
      </c>
      <c r="AR140" s="205"/>
      <c r="AS140" s="204"/>
      <c r="AT140" s="204"/>
      <c r="AU140" s="204"/>
      <c r="AV140" s="203">
        <f>E140</f>
        <v>6378</v>
      </c>
      <c r="AW140" s="203">
        <f>AV140*1.12</f>
        <v>7143.3600000000006</v>
      </c>
      <c r="AX140" s="203">
        <f>H140</f>
        <v>5</v>
      </c>
      <c r="AY140" s="203">
        <f>AL140-AI140-AZ140</f>
        <v>0</v>
      </c>
      <c r="AZ140" s="203">
        <f>AL140-AI140/AK140*AN140</f>
        <v>-2761</v>
      </c>
      <c r="BA140" s="203"/>
      <c r="BB140" s="203"/>
      <c r="BC140" s="203"/>
      <c r="BD140" s="203"/>
      <c r="BE140" s="203"/>
      <c r="BF140" s="203"/>
      <c r="BG140" s="203"/>
      <c r="BH140" s="203"/>
      <c r="BI140" s="203"/>
      <c r="BJ140" s="203"/>
      <c r="BK140" s="203"/>
      <c r="BL140" s="203"/>
      <c r="BM140" s="387"/>
      <c r="BN140" s="385"/>
      <c r="BO140" s="202"/>
      <c r="BP140" s="202"/>
      <c r="BQ140" s="202"/>
      <c r="BR140" s="386"/>
      <c r="BS140" s="386"/>
      <c r="BT140" s="202"/>
      <c r="BW140" s="385"/>
      <c r="BX140" s="384"/>
    </row>
    <row r="141" spans="1:76" ht="25.5" customHeight="1" x14ac:dyDescent="0.25">
      <c r="A141" s="200"/>
      <c r="B141" s="216"/>
      <c r="C141" s="70" t="s">
        <v>6</v>
      </c>
      <c r="D141" s="70" t="s">
        <v>26</v>
      </c>
      <c r="E141" s="198">
        <f>E142</f>
        <v>6378</v>
      </c>
      <c r="F141" s="198">
        <f>F142</f>
        <v>7143.3600000000006</v>
      </c>
      <c r="G141" s="197"/>
      <c r="H141" s="196"/>
      <c r="I141" s="195">
        <f>I142</f>
        <v>6378</v>
      </c>
      <c r="J141" s="195">
        <f>J142</f>
        <v>7143.3600000000006</v>
      </c>
      <c r="K141" s="194"/>
      <c r="L141" s="235"/>
      <c r="M141" s="193"/>
      <c r="N141" s="50">
        <f>P141</f>
        <v>4337210.9464285709</v>
      </c>
      <c r="O141" s="50">
        <f>Q141</f>
        <v>4857676.26</v>
      </c>
      <c r="P141" s="50">
        <f>Q141/1.12</f>
        <v>4337210.9464285709</v>
      </c>
      <c r="Q141" s="50">
        <f>Q140</f>
        <v>4857676.26</v>
      </c>
      <c r="R141" s="113"/>
      <c r="S141" s="190"/>
      <c r="T141" s="47"/>
      <c r="U141" s="47"/>
      <c r="V141" s="47"/>
      <c r="W141" s="47"/>
      <c r="X141" s="47"/>
      <c r="Y141" s="47"/>
      <c r="Z141" s="66"/>
      <c r="AA141" s="66"/>
      <c r="AB141" s="66"/>
      <c r="AC141" s="66"/>
      <c r="AD141" s="66"/>
      <c r="AE141" s="66"/>
      <c r="AF141" s="46">
        <f>Z141+AC141</f>
        <v>0</v>
      </c>
      <c r="AG141" s="46">
        <f>AA141+AD141</f>
        <v>0</v>
      </c>
      <c r="AH141" s="46">
        <f>AB141+AE141</f>
        <v>0</v>
      </c>
      <c r="AI141" s="66">
        <f>5103+1275</f>
        <v>6378</v>
      </c>
      <c r="AJ141" s="66">
        <f>AJ142</f>
        <v>7143.3600000000006</v>
      </c>
      <c r="AK141" s="66"/>
      <c r="AL141" s="117">
        <f>AL142</f>
        <v>2079.1523124999999</v>
      </c>
      <c r="AM141" s="64">
        <f>AM142</f>
        <v>2328.6505900000002</v>
      </c>
      <c r="AN141" s="66"/>
      <c r="AO141" s="64">
        <f>AL141-AI141</f>
        <v>-4298.8476874999997</v>
      </c>
      <c r="AP141" s="64">
        <f>AO141*1.12</f>
        <v>-4814.7094100000004</v>
      </c>
      <c r="AQ141" s="62"/>
      <c r="AR141" s="189"/>
      <c r="AS141" s="115"/>
      <c r="AT141" s="115">
        <f>AL141</f>
        <v>2079.1523124999999</v>
      </c>
      <c r="AU141" s="63"/>
      <c r="AV141" s="64">
        <f>E141</f>
        <v>6378</v>
      </c>
      <c r="AW141" s="62">
        <f>AV141*1.12</f>
        <v>7143.3600000000006</v>
      </c>
      <c r="AX141" s="62"/>
      <c r="AY141" s="62"/>
      <c r="AZ141" s="62"/>
      <c r="BA141" s="62"/>
      <c r="BB141" s="62"/>
      <c r="BC141" s="62"/>
      <c r="BD141" s="62"/>
      <c r="BE141" s="62"/>
      <c r="BF141" s="62"/>
      <c r="BG141" s="62"/>
      <c r="BH141" s="62"/>
      <c r="BI141" s="62"/>
      <c r="BJ141" s="62"/>
      <c r="BK141" s="62"/>
      <c r="BL141" s="62"/>
      <c r="BM141" s="53"/>
      <c r="BN141" s="39"/>
      <c r="BO141" s="59"/>
      <c r="BP141" s="59"/>
      <c r="BQ141" s="59"/>
      <c r="BR141" s="323"/>
      <c r="BS141" s="323"/>
      <c r="BT141" s="59"/>
      <c r="BW141" s="39"/>
      <c r="BX141" s="38"/>
    </row>
    <row r="142" spans="1:76" ht="25.5" customHeight="1" x14ac:dyDescent="0.25">
      <c r="A142" s="200"/>
      <c r="B142" s="216"/>
      <c r="C142" s="53" t="s">
        <v>6</v>
      </c>
      <c r="D142" s="53" t="s">
        <v>5</v>
      </c>
      <c r="E142" s="186">
        <f>E140</f>
        <v>6378</v>
      </c>
      <c r="F142" s="186">
        <f>E142*1.12</f>
        <v>7143.3600000000006</v>
      </c>
      <c r="G142" s="197"/>
      <c r="H142" s="196"/>
      <c r="I142" s="183">
        <v>6378</v>
      </c>
      <c r="J142" s="183">
        <f>I142*1.12</f>
        <v>7143.3600000000006</v>
      </c>
      <c r="K142" s="105"/>
      <c r="L142" s="233"/>
      <c r="M142" s="181"/>
      <c r="N142" s="50">
        <f>P142</f>
        <v>4337210.9464285709</v>
      </c>
      <c r="O142" s="50">
        <f>Q142</f>
        <v>4857676.26</v>
      </c>
      <c r="P142" s="50">
        <f>Q142/1.12</f>
        <v>4337210.9464285709</v>
      </c>
      <c r="Q142" s="50">
        <f>Q141</f>
        <v>4857676.26</v>
      </c>
      <c r="R142" s="113"/>
      <c r="S142" s="179"/>
      <c r="T142" s="47"/>
      <c r="U142" s="47"/>
      <c r="V142" s="47"/>
      <c r="W142" s="47"/>
      <c r="X142" s="47"/>
      <c r="Y142" s="47"/>
      <c r="Z142" s="46"/>
      <c r="AA142" s="46"/>
      <c r="AB142" s="46"/>
      <c r="AC142" s="46"/>
      <c r="AD142" s="46"/>
      <c r="AE142" s="46"/>
      <c r="AF142" s="46">
        <f>Z142+AC142</f>
        <v>0</v>
      </c>
      <c r="AG142" s="46">
        <f>AA142+AD142</f>
        <v>0</v>
      </c>
      <c r="AH142" s="46">
        <f>AB142+AE142</f>
        <v>0</v>
      </c>
      <c r="AI142" s="46">
        <f>AI141</f>
        <v>6378</v>
      </c>
      <c r="AJ142" s="46">
        <f>AI142*1.12</f>
        <v>7143.3600000000006</v>
      </c>
      <c r="AK142" s="46"/>
      <c r="AL142" s="225">
        <f>2328.65059/1.12</f>
        <v>2079.1523124999999</v>
      </c>
      <c r="AM142" s="44">
        <f>AL142*1.12</f>
        <v>2328.6505900000002</v>
      </c>
      <c r="AN142" s="46"/>
      <c r="AO142" s="44">
        <f>AO141</f>
        <v>-4298.8476874999997</v>
      </c>
      <c r="AP142" s="44">
        <f>AO142*1.12</f>
        <v>-4814.7094100000004</v>
      </c>
      <c r="AQ142" s="62"/>
      <c r="AR142" s="189"/>
      <c r="AS142" s="101"/>
      <c r="AT142" s="101">
        <f>AL142</f>
        <v>2079.1523124999999</v>
      </c>
      <c r="AU142" s="42"/>
      <c r="AV142" s="44">
        <f>AV141</f>
        <v>6378</v>
      </c>
      <c r="AW142" s="41">
        <f>AV142*1.12</f>
        <v>7143.3600000000006</v>
      </c>
      <c r="AX142" s="41"/>
      <c r="AY142" s="62"/>
      <c r="AZ142" s="41"/>
      <c r="BA142" s="41"/>
      <c r="BB142" s="41"/>
      <c r="BC142" s="41"/>
      <c r="BD142" s="41"/>
      <c r="BE142" s="41"/>
      <c r="BF142" s="62"/>
      <c r="BG142" s="41"/>
      <c r="BH142" s="41"/>
      <c r="BI142" s="41"/>
      <c r="BJ142" s="41"/>
      <c r="BK142" s="41"/>
      <c r="BL142" s="41"/>
      <c r="BM142" s="53"/>
      <c r="BN142" s="39"/>
      <c r="BO142" s="39"/>
      <c r="BP142" s="39"/>
      <c r="BQ142" s="39"/>
      <c r="BR142" s="323"/>
      <c r="BS142" s="323"/>
      <c r="BT142" s="39"/>
      <c r="BW142" s="39"/>
      <c r="BX142" s="38"/>
    </row>
    <row r="143" spans="1:76" s="201" customFormat="1" ht="16.5" hidden="1" customHeight="1" outlineLevel="1" x14ac:dyDescent="0.25">
      <c r="A143" s="200"/>
      <c r="B143" s="216"/>
      <c r="C143" s="214" t="s">
        <v>9</v>
      </c>
      <c r="D143" s="214" t="s">
        <v>8</v>
      </c>
      <c r="E143" s="213"/>
      <c r="F143" s="213"/>
      <c r="G143" s="197"/>
      <c r="H143" s="196"/>
      <c r="I143" s="212"/>
      <c r="J143" s="212"/>
      <c r="K143" s="118"/>
      <c r="L143" s="217"/>
      <c r="M143" s="211" t="s">
        <v>13</v>
      </c>
      <c r="N143" s="210">
        <f>P143</f>
        <v>0</v>
      </c>
      <c r="O143" s="210">
        <f>Q143</f>
        <v>0</v>
      </c>
      <c r="P143" s="210">
        <f>Q143/1.12</f>
        <v>0</v>
      </c>
      <c r="Q143" s="210"/>
      <c r="R143" s="113"/>
      <c r="S143" s="104"/>
      <c r="T143" s="315"/>
      <c r="U143" s="315"/>
      <c r="V143" s="315"/>
      <c r="W143" s="315"/>
      <c r="X143" s="315"/>
      <c r="Y143" s="315"/>
      <c r="Z143" s="206"/>
      <c r="AA143" s="206"/>
      <c r="AB143" s="206"/>
      <c r="AC143" s="206"/>
      <c r="AD143" s="206"/>
      <c r="AE143" s="206"/>
      <c r="AF143" s="206"/>
      <c r="AG143" s="206"/>
      <c r="AH143" s="206"/>
      <c r="AI143" s="206"/>
      <c r="AJ143" s="206"/>
      <c r="AK143" s="206"/>
      <c r="AL143" s="206"/>
      <c r="AM143" s="203">
        <f>AL143*1.12</f>
        <v>0</v>
      </c>
      <c r="AN143" s="206"/>
      <c r="AO143" s="203">
        <f>AL143-(AI140/$AK$124*$AN$127)+AI140/AK140*(AN140+AN143-AK140)</f>
        <v>0</v>
      </c>
      <c r="AP143" s="203">
        <f>AM143-(AJ140/$AK$124*$AN$127)+AJ140/AK140*(AN140+AN143-AK140)</f>
        <v>0</v>
      </c>
      <c r="AQ143" s="203">
        <f>AN143-S143</f>
        <v>0</v>
      </c>
      <c r="AR143" s="205" t="str">
        <f>IF(AI143=0,"",AL143/AI143)</f>
        <v/>
      </c>
      <c r="AS143" s="204"/>
      <c r="AT143" s="204"/>
      <c r="AU143" s="204"/>
      <c r="AV143" s="203">
        <f>AL143</f>
        <v>0</v>
      </c>
      <c r="AW143" s="203">
        <f>AV143*1.12</f>
        <v>0</v>
      </c>
      <c r="AX143" s="203"/>
      <c r="AY143" s="203"/>
      <c r="AZ143" s="203"/>
      <c r="BA143" s="203"/>
      <c r="BB143" s="203"/>
      <c r="BC143" s="203"/>
      <c r="BD143" s="203"/>
      <c r="BE143" s="203"/>
      <c r="BF143" s="203"/>
      <c r="BG143" s="203"/>
      <c r="BH143" s="203"/>
      <c r="BI143" s="203"/>
      <c r="BJ143" s="203"/>
      <c r="BK143" s="203"/>
      <c r="BL143" s="203"/>
      <c r="BM143" s="214"/>
      <c r="BN143" s="202"/>
      <c r="BO143" s="202"/>
      <c r="BP143" s="202"/>
      <c r="BQ143" s="202"/>
      <c r="BR143" s="334"/>
      <c r="BS143" s="334"/>
      <c r="BT143" s="202"/>
      <c r="BW143" s="202"/>
      <c r="BX143" s="314"/>
    </row>
    <row r="144" spans="1:76" s="57" customFormat="1" ht="16.5" hidden="1" customHeight="1" outlineLevel="1" x14ac:dyDescent="0.25">
      <c r="A144" s="200"/>
      <c r="B144" s="216"/>
      <c r="C144" s="70" t="s">
        <v>6</v>
      </c>
      <c r="D144" s="70" t="s">
        <v>26</v>
      </c>
      <c r="E144" s="198"/>
      <c r="F144" s="198"/>
      <c r="G144" s="197"/>
      <c r="H144" s="196"/>
      <c r="I144" s="195"/>
      <c r="J144" s="195"/>
      <c r="K144" s="194"/>
      <c r="L144" s="216"/>
      <c r="M144" s="193"/>
      <c r="N144" s="50">
        <f>P144</f>
        <v>0</v>
      </c>
      <c r="O144" s="50">
        <f>Q144</f>
        <v>0</v>
      </c>
      <c r="P144" s="51">
        <f>Q144/1.12</f>
        <v>0</v>
      </c>
      <c r="Q144" s="51">
        <f>Q143</f>
        <v>0</v>
      </c>
      <c r="R144" s="113"/>
      <c r="S144" s="104"/>
      <c r="T144" s="47"/>
      <c r="U144" s="47"/>
      <c r="V144" s="47"/>
      <c r="W144" s="47"/>
      <c r="X144" s="47"/>
      <c r="Y144" s="47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117"/>
      <c r="AM144" s="64">
        <f>AL144*1.12</f>
        <v>0</v>
      </c>
      <c r="AN144" s="66"/>
      <c r="AO144" s="64">
        <f>AL144-(AI141/$AK$124*$AN$127)+AI141/AK140*(AN140+AN143-AK140)</f>
        <v>0</v>
      </c>
      <c r="AP144" s="64">
        <f>AM144-(AJ141/$AK$124*$AN$127)+AJ141/AK140*(AN140+AN143-AK140)</f>
        <v>0</v>
      </c>
      <c r="AQ144" s="62"/>
      <c r="AR144" s="189" t="str">
        <f>IF(AI144=0,"",AL144/AI144)</f>
        <v/>
      </c>
      <c r="AS144" s="115"/>
      <c r="AT144" s="115">
        <f>AL144</f>
        <v>0</v>
      </c>
      <c r="AU144" s="63"/>
      <c r="AV144" s="64">
        <f>AL144</f>
        <v>0</v>
      </c>
      <c r="AW144" s="62">
        <f>AV144*1.12</f>
        <v>0</v>
      </c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70"/>
      <c r="BN144" s="59"/>
      <c r="BO144" s="59"/>
      <c r="BP144" s="59"/>
      <c r="BQ144" s="59"/>
      <c r="BR144" s="330"/>
      <c r="BS144" s="330"/>
      <c r="BT144" s="59"/>
      <c r="BW144" s="59"/>
      <c r="BX144" s="58"/>
    </row>
    <row r="145" spans="1:76" ht="16.5" hidden="1" customHeight="1" outlineLevel="1" x14ac:dyDescent="0.25">
      <c r="A145" s="55"/>
      <c r="B145" s="215"/>
      <c r="C145" s="53" t="s">
        <v>6</v>
      </c>
      <c r="D145" s="53" t="s">
        <v>5</v>
      </c>
      <c r="E145" s="186"/>
      <c r="F145" s="186"/>
      <c r="G145" s="185"/>
      <c r="H145" s="184"/>
      <c r="I145" s="183"/>
      <c r="J145" s="183"/>
      <c r="K145" s="105"/>
      <c r="L145" s="215"/>
      <c r="M145" s="181"/>
      <c r="N145" s="50">
        <f>P145</f>
        <v>0</v>
      </c>
      <c r="O145" s="50">
        <f>Q145</f>
        <v>0</v>
      </c>
      <c r="P145" s="50">
        <f>Q145/1.12</f>
        <v>0</v>
      </c>
      <c r="Q145" s="50">
        <f>Q144</f>
        <v>0</v>
      </c>
      <c r="R145" s="113"/>
      <c r="S145" s="104"/>
      <c r="T145" s="47"/>
      <c r="U145" s="47"/>
      <c r="V145" s="47"/>
      <c r="W145" s="47"/>
      <c r="X145" s="47"/>
      <c r="Y145" s="47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103">
        <f>AL144</f>
        <v>0</v>
      </c>
      <c r="AM145" s="44">
        <f>AM144</f>
        <v>0</v>
      </c>
      <c r="AN145" s="46"/>
      <c r="AO145" s="44">
        <f>AL145-(AI142/$AK$124*$AN$127)+AI141/AK140*(AN140+AN143-AK140)</f>
        <v>0</v>
      </c>
      <c r="AP145" s="44">
        <f>AM145-(AJ142/$AK$124*$AN$127)+AJ141/AK140*(AN140+AN143-AK140)</f>
        <v>0</v>
      </c>
      <c r="AQ145" s="62"/>
      <c r="AR145" s="189" t="str">
        <f>IF(AI145=0,"",AL145/AI145)</f>
        <v/>
      </c>
      <c r="AS145" s="101"/>
      <c r="AT145" s="101">
        <f>AL145</f>
        <v>0</v>
      </c>
      <c r="AU145" s="42"/>
      <c r="AV145" s="44">
        <f>AL145</f>
        <v>0</v>
      </c>
      <c r="AW145" s="41">
        <f>AV145*1.12</f>
        <v>0</v>
      </c>
      <c r="AX145" s="41"/>
      <c r="AY145" s="62"/>
      <c r="AZ145" s="41"/>
      <c r="BA145" s="41"/>
      <c r="BB145" s="41"/>
      <c r="BC145" s="41"/>
      <c r="BD145" s="41"/>
      <c r="BE145" s="41"/>
      <c r="BF145" s="62"/>
      <c r="BG145" s="41"/>
      <c r="BH145" s="41"/>
      <c r="BI145" s="41"/>
      <c r="BJ145" s="41"/>
      <c r="BK145" s="41"/>
      <c r="BL145" s="41"/>
      <c r="BM145" s="53"/>
      <c r="BN145" s="39"/>
      <c r="BO145" s="39"/>
      <c r="BP145" s="39"/>
      <c r="BQ145" s="39"/>
      <c r="BR145" s="323"/>
      <c r="BS145" s="323"/>
      <c r="BT145" s="39"/>
      <c r="BW145" s="39"/>
      <c r="BX145" s="38"/>
    </row>
    <row r="146" spans="1:76" s="288" customFormat="1" ht="15" customHeight="1" collapsed="1" x14ac:dyDescent="0.25">
      <c r="A146" s="72">
        <v>2</v>
      </c>
      <c r="B146" s="382" t="s">
        <v>103</v>
      </c>
      <c r="C146" s="304" t="s">
        <v>9</v>
      </c>
      <c r="D146" s="290"/>
      <c r="E146" s="355">
        <f>E148+E151+E154+E157+E160+E163+E166+E169</f>
        <v>1293082</v>
      </c>
      <c r="F146" s="355">
        <f>F148+F151+F154+F157+F160+F163+F166+F169</f>
        <v>1448251.84</v>
      </c>
      <c r="G146" s="357"/>
      <c r="H146" s="356">
        <f>H148</f>
        <v>953</v>
      </c>
      <c r="I146" s="355">
        <f>I148+I151+I154+I157+I160+I163+I166+I169</f>
        <v>1293082</v>
      </c>
      <c r="J146" s="355">
        <f>J148+J151+J154+J157+J160+J163+J166+J169</f>
        <v>1448251.84</v>
      </c>
      <c r="K146" s="370" t="s">
        <v>102</v>
      </c>
      <c r="L146" s="369"/>
      <c r="M146" s="368"/>
      <c r="N146" s="352">
        <f>N148+N151+N154+N157+N160+N163+N166+N169</f>
        <v>923049874.51785707</v>
      </c>
      <c r="O146" s="352">
        <f>O148+O151+O154+O157+O160+O163+O166+O169</f>
        <v>1033815859.46</v>
      </c>
      <c r="P146" s="352">
        <f>P148+P151+P154+P157+P160+P163+P166+P169</f>
        <v>923049874.51785707</v>
      </c>
      <c r="Q146" s="352">
        <f>Q148+Q151+Q154+Q157+Q160+Q163+Q166+Q169</f>
        <v>1033815859.46</v>
      </c>
      <c r="R146" s="305"/>
      <c r="S146" s="297">
        <f>S148+S151+S154+S157+S160+S163+S166+S169</f>
        <v>953</v>
      </c>
      <c r="T146" s="296"/>
      <c r="U146" s="296"/>
      <c r="V146" s="296"/>
      <c r="W146" s="296"/>
      <c r="X146" s="296"/>
      <c r="Y146" s="296"/>
      <c r="Z146" s="350"/>
      <c r="AA146" s="350"/>
      <c r="AB146" s="350"/>
      <c r="AC146" s="350"/>
      <c r="AD146" s="350"/>
      <c r="AE146" s="350"/>
      <c r="AF146" s="350"/>
      <c r="AG146" s="350"/>
      <c r="AH146" s="350"/>
      <c r="AI146" s="350">
        <f>AI148+AI151+AI154+AI157+AI160+AI163+AI166+AI169</f>
        <v>1293082</v>
      </c>
      <c r="AJ146" s="350">
        <f>AJ148+AJ151+AJ154+AJ157+AJ160+AJ163+AJ166+AJ169</f>
        <v>1448251.84</v>
      </c>
      <c r="AK146" s="350">
        <f>AK148+AK151+AK154+AK157+AK160+AK163+AK166+AK169</f>
        <v>953</v>
      </c>
      <c r="AL146" s="350">
        <f>AL148+AL151+AL154+AL157+AL160+AL163+AL166+AL169</f>
        <v>759168</v>
      </c>
      <c r="AM146" s="348">
        <f>AM148+AM151+AM154+AM157+AM160+AM163+AM166+AM169</f>
        <v>850268.16000000003</v>
      </c>
      <c r="AN146" s="350">
        <f>AN148+AN151+AN154+AN157+AN160+AN163+AN166+AN169</f>
        <v>953</v>
      </c>
      <c r="AO146" s="348">
        <f>AL146-AI146</f>
        <v>-533914</v>
      </c>
      <c r="AP146" s="348">
        <f>AM146-AJ146</f>
        <v>-597983.68000000005</v>
      </c>
      <c r="AQ146" s="348">
        <f>AQ148+AQ151+AQ154+AQ157+AQ160+AQ163+AQ166</f>
        <v>0</v>
      </c>
      <c r="AR146" s="293">
        <f>IF(AI146=0,"",AL146/AI146)</f>
        <v>0.5870996580263278</v>
      </c>
      <c r="AS146" s="349">
        <f>AS148+AS151+AS154+AS157+AS160+AS163+AS166+AS169</f>
        <v>0</v>
      </c>
      <c r="AT146" s="349">
        <f>AT148+AT151+AT154+AT157+AT160+AT163+AT166+AT169</f>
        <v>0</v>
      </c>
      <c r="AU146" s="349">
        <f>AU148+AU151+AU154+AU157+AU160+AU163+AU166+AU169</f>
        <v>0</v>
      </c>
      <c r="AV146" s="348">
        <f>AV148+AV151+AV154+AV157+AV160+AV163+AV166+AV169</f>
        <v>1293082</v>
      </c>
      <c r="AW146" s="348">
        <f>AW148+AW151+AW154+AW157+AW160+AW163+AW166+AW169</f>
        <v>1448251.84</v>
      </c>
      <c r="AX146" s="348">
        <f>AX148+AX151+AX154+AX157+AX160+AX163+AX166+AX169</f>
        <v>953</v>
      </c>
      <c r="AY146" s="348">
        <f>AY148+AY151+AY154+AY157+AY160+AY163+AY166+AY169</f>
        <v>0</v>
      </c>
      <c r="AZ146" s="348">
        <f>AZ148+AZ151+AZ154+AZ157+AZ160+AZ163+AZ166+AZ169</f>
        <v>-533914</v>
      </c>
      <c r="BA146" s="348">
        <f>BA148+BA151+BA154+BA157+BA160+BA163+BA166+BA169</f>
        <v>0</v>
      </c>
      <c r="BB146" s="348">
        <f>BB148+BB151+BB154+BB157+BB160+BB163+BB166+BB169</f>
        <v>0</v>
      </c>
      <c r="BC146" s="348">
        <f>BC148+BC151+BC154+BC157+BC160+BC163+BC166+BC169</f>
        <v>0</v>
      </c>
      <c r="BD146" s="348">
        <f>BD148+BD151+BD154+BD157+BD160+BD163+BD166+BD169</f>
        <v>0</v>
      </c>
      <c r="BE146" s="348">
        <f>BE148+BE151+BE154+BE157+BE160+BE163+BE166+BE169</f>
        <v>0</v>
      </c>
      <c r="BF146" s="348">
        <f>BF148+BF151+BF154+BF157+BF160+BF163+BF166+BF169</f>
        <v>0</v>
      </c>
      <c r="BG146" s="348">
        <f>BG148+BG151+BG154+BG157+BG160+BG163+BG166+BG169</f>
        <v>0</v>
      </c>
      <c r="BH146" s="348">
        <f>BH148+BH151+BH154+BH157+BH160+BH163+BH166+BH169</f>
        <v>0</v>
      </c>
      <c r="BI146" s="348">
        <f>BI148+BI151+BI154+BI157+BI160+BI163+BI166+BI169</f>
        <v>0</v>
      </c>
      <c r="BJ146" s="348">
        <f>BJ148+BJ151+BJ154+BJ157+BJ160+BJ163+BJ166+BJ169</f>
        <v>0</v>
      </c>
      <c r="BK146" s="348">
        <f>BK148+BK151+BK154+BK157+BK160+BK163+BK166+BK169</f>
        <v>0</v>
      </c>
      <c r="BL146" s="348">
        <f>BL148+BL151+BL154+BL157+BL160+BL163+BL166+BL169</f>
        <v>0</v>
      </c>
      <c r="BM146" s="358" t="s">
        <v>82</v>
      </c>
      <c r="BN146" s="290"/>
      <c r="BO146" s="348">
        <f>BO148+BO151+BO154+BO157+BO160+BO163+BO166+BO169</f>
        <v>0</v>
      </c>
      <c r="BP146" s="348">
        <f>BP148+BP151+BP154+BP157+BP160+BP163+BP166+BP169</f>
        <v>0</v>
      </c>
      <c r="BQ146" s="348">
        <f>BQ148+BQ151+BQ154+BQ157+BQ160+BQ163+BQ166+BQ169</f>
        <v>0</v>
      </c>
      <c r="BR146" s="347"/>
      <c r="BS146" s="347"/>
      <c r="BT146" s="290"/>
      <c r="BW146" s="290"/>
      <c r="BX146" s="289"/>
    </row>
    <row r="147" spans="1:76" s="288" customFormat="1" ht="15" customHeight="1" x14ac:dyDescent="0.25">
      <c r="A147" s="200"/>
      <c r="B147" s="376"/>
      <c r="C147" s="304" t="s">
        <v>6</v>
      </c>
      <c r="D147" s="357"/>
      <c r="E147" s="355">
        <f>E149+E152+E155+E158+E161+E164+E167+E170</f>
        <v>1293082</v>
      </c>
      <c r="F147" s="355">
        <f>F149+F152+F155+F158+F161+F164+F167+F170</f>
        <v>1448251.84</v>
      </c>
      <c r="G147" s="357"/>
      <c r="H147" s="356"/>
      <c r="I147" s="355">
        <f>I149+I152+I155+I158+I161+I164+I167+I170</f>
        <v>1147898</v>
      </c>
      <c r="J147" s="355">
        <f>J149+J152+J155+J158+J161+J164+J167+J170</f>
        <v>1285645.76</v>
      </c>
      <c r="K147" s="367"/>
      <c r="L147" s="366"/>
      <c r="M147" s="365"/>
      <c r="N147" s="352">
        <f>N149+N152+N155+N158+N161+N164+N167+N170</f>
        <v>923049874.51785707</v>
      </c>
      <c r="O147" s="352">
        <f>O149+O152+O155+O158+O161+O164+O167+O170</f>
        <v>1033815859.46</v>
      </c>
      <c r="P147" s="352">
        <f>P149+P152+P155+P158+P161+P164+P167+P170</f>
        <v>923049874.51785707</v>
      </c>
      <c r="Q147" s="352">
        <f>Q149+Q152+Q155+Q158+Q161+Q164+Q167+Q170</f>
        <v>1033815859.46</v>
      </c>
      <c r="R147" s="305"/>
      <c r="S147" s="297"/>
      <c r="T147" s="296"/>
      <c r="U147" s="296"/>
      <c r="V147" s="296"/>
      <c r="W147" s="296"/>
      <c r="X147" s="296"/>
      <c r="Y147" s="296"/>
      <c r="Z147" s="350"/>
      <c r="AA147" s="350"/>
      <c r="AB147" s="350"/>
      <c r="AC147" s="350"/>
      <c r="AD147" s="350"/>
      <c r="AE147" s="350"/>
      <c r="AF147" s="350"/>
      <c r="AG147" s="350"/>
      <c r="AH147" s="350"/>
      <c r="AI147" s="350">
        <f>AI149+AI152+AI155+AI158+AI161+AI164+AI167+AI170</f>
        <v>1147898</v>
      </c>
      <c r="AJ147" s="350">
        <f>AJ149+AJ152+AJ155+AJ158+AJ161+AJ164+AJ167+AJ170</f>
        <v>1285645.76</v>
      </c>
      <c r="AK147" s="350">
        <f>AK149+AK152+AK155+AK158+AK161+AK164+AK167+AK170</f>
        <v>0</v>
      </c>
      <c r="AL147" s="350">
        <f>AL149+AL152+AL155+AL158+AL161+AL164+AL167+AL170</f>
        <v>510673.61887499987</v>
      </c>
      <c r="AM147" s="348">
        <f>AM149+AM152+AM155+AM158+AM161+AM164+AM167+AM170</f>
        <v>571954.45314</v>
      </c>
      <c r="AN147" s="350">
        <f>AN149+AN152+AN155+AN158+AN161+AN164+AN167+AN170</f>
        <v>0</v>
      </c>
      <c r="AO147" s="348">
        <f>AL147-AI147</f>
        <v>-637224.38112500007</v>
      </c>
      <c r="AP147" s="348">
        <f>AM147-AJ147</f>
        <v>-713691.30686000001</v>
      </c>
      <c r="AQ147" s="348">
        <f>AQ149+AQ152+AQ155+AQ158+AQ161+AQ164</f>
        <v>0</v>
      </c>
      <c r="AR147" s="293">
        <f>IF(AI147=0,"",AL147/AI147)</f>
        <v>0.44487717451811909</v>
      </c>
      <c r="AS147" s="349">
        <f>AS149+AS152+AS155+AS158+AS161+AS164+AS167+AS170</f>
        <v>0</v>
      </c>
      <c r="AT147" s="349">
        <f>AT149+AT152+AT155+AT158+AT161+AT164+AT167+AT170</f>
        <v>510673.61887499987</v>
      </c>
      <c r="AU147" s="349">
        <f>AU149+AU152+AU155+AU158+AU161+AU164+AU167+AU170</f>
        <v>0</v>
      </c>
      <c r="AV147" s="348">
        <f>AV149+AV152+AV155+AV158+AV161+AV164+AV167+AV170</f>
        <v>1443880.2433482143</v>
      </c>
      <c r="AW147" s="348">
        <f>AW149+AW152+AW155+AW158+AW161+AW164+AW167+AW170</f>
        <v>1617145.87255</v>
      </c>
      <c r="AX147" s="348">
        <f>AX149+AX152+AX155+AX158+AX161+AX164+AX167+AX170</f>
        <v>0</v>
      </c>
      <c r="AY147" s="348">
        <f>AY149+AY152+AY155+AY158+AY161+AY164+AY167+AY170</f>
        <v>0</v>
      </c>
      <c r="AZ147" s="348">
        <f>AZ149+AZ152+AZ155+AZ158+AZ161+AZ164+AZ167+AZ170</f>
        <v>0</v>
      </c>
      <c r="BA147" s="348">
        <f>BA149+BA152+BA155+BA158+BA161+BA164+BA167+BA170</f>
        <v>0</v>
      </c>
      <c r="BB147" s="348">
        <f>BB149+BB152+BB155+BB158+BB161+BB164+BB167+BB170</f>
        <v>0</v>
      </c>
      <c r="BC147" s="348">
        <f>BC149+BC152+BC155+BC158+BC161+BC164+BC167+BC170</f>
        <v>0</v>
      </c>
      <c r="BD147" s="348">
        <f>BD149+BD152+BD155+BD158+BD161+BD164+BD167+BD170</f>
        <v>0</v>
      </c>
      <c r="BE147" s="348">
        <f>BE149+BE152+BE155+BE158+BE161+BE164+BE167+BE170</f>
        <v>0</v>
      </c>
      <c r="BF147" s="348">
        <f>BF149+BF152+BF155+BF158+BF161+BF164+BF167+BF170</f>
        <v>0</v>
      </c>
      <c r="BG147" s="348">
        <f>BG149+BG152+BG155+BG158+BG161+BG164+BG167+BG170</f>
        <v>0</v>
      </c>
      <c r="BH147" s="348">
        <f>BH149+BH152+BH155+BH158+BH161+BH164+BH167+BH170</f>
        <v>0</v>
      </c>
      <c r="BI147" s="348">
        <f>BI149+BI152+BI155+BI158+BI161+BI164+BI167+BI170</f>
        <v>0</v>
      </c>
      <c r="BJ147" s="348">
        <f>BJ149+BJ152+BJ155+BJ158+BJ161+BJ164+BJ167+BJ170</f>
        <v>0</v>
      </c>
      <c r="BK147" s="348">
        <f>BK149+BK152+BK155+BK158+BK161+BK164+BK167+BK170</f>
        <v>0</v>
      </c>
      <c r="BL147" s="348">
        <f>BL149+BL152+BL155+BL158+BL161+BL164+BL167+BL170</f>
        <v>0</v>
      </c>
      <c r="BM147" s="381"/>
      <c r="BN147" s="290"/>
      <c r="BO147" s="348">
        <f>BO149+BO152+BO155+BO158+BO161+BO164+BO167+BO170</f>
        <v>0</v>
      </c>
      <c r="BP147" s="348">
        <f>BP149+BP152+BP155+BP158+BP161+BP164+BP167+BP170</f>
        <v>0</v>
      </c>
      <c r="BQ147" s="348">
        <f>BQ149+BQ152+BQ155+BQ158+BQ161+BQ164+BQ167+BQ170</f>
        <v>0</v>
      </c>
      <c r="BR147" s="347"/>
      <c r="BS147" s="347"/>
      <c r="BT147" s="290"/>
      <c r="BW147" s="290"/>
      <c r="BX147" s="289"/>
    </row>
    <row r="148" spans="1:76" s="201" customFormat="1" ht="16.5" customHeight="1" x14ac:dyDescent="0.25">
      <c r="A148" s="200"/>
      <c r="B148" s="376"/>
      <c r="C148" s="214" t="s">
        <v>9</v>
      </c>
      <c r="D148" s="214" t="s">
        <v>8</v>
      </c>
      <c r="E148" s="213">
        <v>1293082</v>
      </c>
      <c r="F148" s="213">
        <f>E148*1.12</f>
        <v>1448251.84</v>
      </c>
      <c r="G148" s="243">
        <v>1818</v>
      </c>
      <c r="H148" s="242">
        <v>953</v>
      </c>
      <c r="I148" s="212">
        <v>1293082</v>
      </c>
      <c r="J148" s="212">
        <f>I148*1.12</f>
        <v>1448251.84</v>
      </c>
      <c r="K148" s="238" t="s">
        <v>55</v>
      </c>
      <c r="L148" s="237" t="s">
        <v>92</v>
      </c>
      <c r="M148" s="211" t="s">
        <v>13</v>
      </c>
      <c r="N148" s="210">
        <f>P148</f>
        <v>107351174.70535713</v>
      </c>
      <c r="O148" s="210">
        <f>Q148</f>
        <v>120233315.67</v>
      </c>
      <c r="P148" s="210">
        <f>Q148/1.12</f>
        <v>107351174.70535713</v>
      </c>
      <c r="Q148" s="210">
        <v>120233315.67</v>
      </c>
      <c r="R148" s="73" t="s">
        <v>91</v>
      </c>
      <c r="S148" s="104">
        <v>110</v>
      </c>
      <c r="T148" s="315"/>
      <c r="U148" s="315"/>
      <c r="V148" s="315"/>
      <c r="W148" s="315"/>
      <c r="X148" s="315"/>
      <c r="Y148" s="315"/>
      <c r="Z148" s="206"/>
      <c r="AA148" s="206"/>
      <c r="AB148" s="206"/>
      <c r="AC148" s="206"/>
      <c r="AD148" s="206"/>
      <c r="AE148" s="206"/>
      <c r="AF148" s="206">
        <f>Z148+AC148</f>
        <v>0</v>
      </c>
      <c r="AG148" s="206">
        <f>AA148+AD148</f>
        <v>0</v>
      </c>
      <c r="AH148" s="206">
        <f>AB148+AE148</f>
        <v>0</v>
      </c>
      <c r="AI148" s="206">
        <f>139756+139756+142470+145183+145183+145183+145183+145184+145184</f>
        <v>1293082</v>
      </c>
      <c r="AJ148" s="206">
        <f>AI148*1.12</f>
        <v>1448251.84</v>
      </c>
      <c r="AK148" s="206">
        <f>103+103+105+107+107+107+107+107+107</f>
        <v>953</v>
      </c>
      <c r="AL148" s="206">
        <f>74900+23178</f>
        <v>98078</v>
      </c>
      <c r="AM148" s="203">
        <f>AL148*1.12</f>
        <v>109847.36000000002</v>
      </c>
      <c r="AN148" s="206">
        <f>79+13+18</f>
        <v>110</v>
      </c>
      <c r="AO148" s="203">
        <f>AL148-$AI$148/$AK$148*AN148</f>
        <v>-51175.955928646377</v>
      </c>
      <c r="AP148" s="203">
        <f>AO148*1.12</f>
        <v>-57317.070640083948</v>
      </c>
      <c r="AQ148" s="203">
        <f>AN148-S148</f>
        <v>0</v>
      </c>
      <c r="AR148" s="205"/>
      <c r="AS148" s="204"/>
      <c r="AT148" s="204"/>
      <c r="AU148" s="204"/>
      <c r="AV148" s="203">
        <f>ROUND(P148/1000,0)</f>
        <v>107351</v>
      </c>
      <c r="AW148" s="203">
        <f>AV148*1.12</f>
        <v>120233.12000000001</v>
      </c>
      <c r="AX148" s="203">
        <f>S148</f>
        <v>110</v>
      </c>
      <c r="AY148" s="203"/>
      <c r="AZ148" s="203">
        <f>AL148-$AI$148/$AK$148*AN148</f>
        <v>-51175.955928646377</v>
      </c>
      <c r="BA148" s="203"/>
      <c r="BB148" s="203"/>
      <c r="BC148" s="203"/>
      <c r="BD148" s="203"/>
      <c r="BE148" s="203"/>
      <c r="BF148" s="203"/>
      <c r="BG148" s="203"/>
      <c r="BH148" s="203"/>
      <c r="BI148" s="203"/>
      <c r="BJ148" s="203"/>
      <c r="BK148" s="203"/>
      <c r="BL148" s="203">
        <f>AQ148*AI148/AK148</f>
        <v>0</v>
      </c>
      <c r="BM148" s="334"/>
      <c r="BN148" s="334"/>
      <c r="BO148" s="202"/>
      <c r="BP148" s="202"/>
      <c r="BQ148" s="202"/>
      <c r="BR148" s="334"/>
      <c r="BS148" s="334"/>
      <c r="BT148" s="202"/>
      <c r="BW148" s="202"/>
      <c r="BX148" s="314"/>
    </row>
    <row r="149" spans="1:76" s="57" customFormat="1" ht="16.5" customHeight="1" x14ac:dyDescent="0.25">
      <c r="A149" s="200"/>
      <c r="B149" s="376"/>
      <c r="C149" s="70" t="s">
        <v>6</v>
      </c>
      <c r="D149" s="70" t="s">
        <v>26</v>
      </c>
      <c r="E149" s="198">
        <f>E150</f>
        <v>1293082</v>
      </c>
      <c r="F149" s="198">
        <f>F150</f>
        <v>1448251.84</v>
      </c>
      <c r="G149" s="197"/>
      <c r="H149" s="196"/>
      <c r="I149" s="195">
        <f>I150</f>
        <v>1147898</v>
      </c>
      <c r="J149" s="195">
        <f>J150</f>
        <v>1285645.76</v>
      </c>
      <c r="K149" s="236"/>
      <c r="L149" s="235"/>
      <c r="M149" s="193"/>
      <c r="N149" s="50">
        <f>P149</f>
        <v>107351174.70535713</v>
      </c>
      <c r="O149" s="50">
        <f>Q149</f>
        <v>120233315.67</v>
      </c>
      <c r="P149" s="51">
        <f>Q149/1.12</f>
        <v>107351174.70535713</v>
      </c>
      <c r="Q149" s="51">
        <f>Q148</f>
        <v>120233315.67</v>
      </c>
      <c r="R149" s="191"/>
      <c r="S149" s="104"/>
      <c r="T149" s="47"/>
      <c r="U149" s="47"/>
      <c r="V149" s="47"/>
      <c r="W149" s="47"/>
      <c r="X149" s="47"/>
      <c r="Y149" s="47"/>
      <c r="Z149" s="66"/>
      <c r="AA149" s="66"/>
      <c r="AB149" s="66"/>
      <c r="AC149" s="66"/>
      <c r="AD149" s="66"/>
      <c r="AE149" s="66"/>
      <c r="AF149" s="66">
        <f>Z149+AC149</f>
        <v>0</v>
      </c>
      <c r="AG149" s="66">
        <f>AA149+AD149</f>
        <v>0</v>
      </c>
      <c r="AH149" s="66">
        <f>AB149+AE149</f>
        <v>0</v>
      </c>
      <c r="AI149" s="66">
        <f>AI150</f>
        <v>1147898</v>
      </c>
      <c r="AJ149" s="66">
        <f>AJ150</f>
        <v>1285645.76</v>
      </c>
      <c r="AK149" s="66"/>
      <c r="AL149" s="117">
        <f>AL150</f>
        <v>83814.099071428558</v>
      </c>
      <c r="AM149" s="64">
        <f>AM150</f>
        <v>93871.790959999998</v>
      </c>
      <c r="AN149" s="66"/>
      <c r="AO149" s="64">
        <f>AL149-AI149/AK148*AN148</f>
        <v>-48681.997465822205</v>
      </c>
      <c r="AP149" s="64">
        <f>AO149*1.12</f>
        <v>-54523.837161720876</v>
      </c>
      <c r="AQ149" s="62"/>
      <c r="AR149" s="189"/>
      <c r="AS149" s="115"/>
      <c r="AT149" s="115">
        <f>AL149</f>
        <v>83814.099071428558</v>
      </c>
      <c r="AU149" s="63"/>
      <c r="AV149" s="64">
        <f>ROUND(P149/1000,0)</f>
        <v>107351</v>
      </c>
      <c r="AW149" s="62">
        <f>AV149*1.12</f>
        <v>120233.12000000001</v>
      </c>
      <c r="AX149" s="62"/>
      <c r="AY149" s="62"/>
      <c r="AZ149" s="62"/>
      <c r="BA149" s="62"/>
      <c r="BB149" s="62"/>
      <c r="BC149" s="62"/>
      <c r="BD149" s="62"/>
      <c r="BE149" s="62"/>
      <c r="BF149" s="62"/>
      <c r="BG149" s="62"/>
      <c r="BH149" s="62"/>
      <c r="BI149" s="62"/>
      <c r="BJ149" s="62"/>
      <c r="BK149" s="62"/>
      <c r="BL149" s="62"/>
      <c r="BM149" s="330"/>
      <c r="BN149" s="330"/>
      <c r="BO149" s="59"/>
      <c r="BP149" s="59"/>
      <c r="BQ149" s="59"/>
      <c r="BR149" s="330"/>
      <c r="BS149" s="330"/>
      <c r="BT149" s="59"/>
      <c r="BW149" s="59"/>
      <c r="BX149" s="58"/>
    </row>
    <row r="150" spans="1:76" ht="16.5" customHeight="1" x14ac:dyDescent="0.25">
      <c r="A150" s="200"/>
      <c r="B150" s="376"/>
      <c r="C150" s="53" t="s">
        <v>6</v>
      </c>
      <c r="D150" s="53" t="s">
        <v>5</v>
      </c>
      <c r="E150" s="186">
        <f>E148</f>
        <v>1293082</v>
      </c>
      <c r="F150" s="186">
        <f>E150*1.12</f>
        <v>1448251.84</v>
      </c>
      <c r="G150" s="197"/>
      <c r="H150" s="196"/>
      <c r="I150" s="183">
        <v>1147898</v>
      </c>
      <c r="J150" s="183">
        <f>I150*1.12</f>
        <v>1285645.76</v>
      </c>
      <c r="K150" s="234"/>
      <c r="L150" s="233"/>
      <c r="M150" s="181"/>
      <c r="N150" s="50">
        <f>P150</f>
        <v>107351174.70535713</v>
      </c>
      <c r="O150" s="50">
        <f>Q150</f>
        <v>120233315.67</v>
      </c>
      <c r="P150" s="50">
        <f>Q150/1.12</f>
        <v>107351174.70535713</v>
      </c>
      <c r="Q150" s="50">
        <f>Q149</f>
        <v>120233315.67</v>
      </c>
      <c r="R150" s="191"/>
      <c r="S150" s="104"/>
      <c r="T150" s="47"/>
      <c r="U150" s="47"/>
      <c r="V150" s="47"/>
      <c r="W150" s="47"/>
      <c r="X150" s="47"/>
      <c r="Y150" s="47"/>
      <c r="Z150" s="46"/>
      <c r="AA150" s="46"/>
      <c r="AB150" s="46"/>
      <c r="AC150" s="46"/>
      <c r="AD150" s="46"/>
      <c r="AE150" s="46"/>
      <c r="AF150" s="46">
        <f>Z150+AC150</f>
        <v>0</v>
      </c>
      <c r="AG150" s="46">
        <f>AA150+AD150</f>
        <v>0</v>
      </c>
      <c r="AH150" s="46">
        <f>AB150+AE150</f>
        <v>0</v>
      </c>
      <c r="AI150" s="46">
        <f>139756+139756+215062+217775-1+145183+145183+145184</f>
        <v>1147898</v>
      </c>
      <c r="AJ150" s="46">
        <f>AI150*1.12</f>
        <v>1285645.76</v>
      </c>
      <c r="AK150" s="46"/>
      <c r="AL150" s="239">
        <f>38729.53858/1.12+15186.17537/1.12+16533.01798/1.12+23422.99302/1.12+0.06601/1.12</f>
        <v>83814.099071428558</v>
      </c>
      <c r="AM150" s="137">
        <f>AL150*1.12</f>
        <v>93871.790959999998</v>
      </c>
      <c r="AN150" s="46"/>
      <c r="AO150" s="44">
        <f>AO149</f>
        <v>-48681.997465822205</v>
      </c>
      <c r="AP150" s="44">
        <f>AP149</f>
        <v>-54523.837161720876</v>
      </c>
      <c r="AQ150" s="41"/>
      <c r="AR150" s="178"/>
      <c r="AS150" s="101"/>
      <c r="AT150" s="101">
        <f>AL150</f>
        <v>83814.099071428558</v>
      </c>
      <c r="AU150" s="42"/>
      <c r="AV150" s="44">
        <f>AV149</f>
        <v>107351</v>
      </c>
      <c r="AW150" s="41">
        <f>AV150*1.12</f>
        <v>120233.12000000001</v>
      </c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41"/>
      <c r="BM150" s="323"/>
      <c r="BN150" s="323"/>
      <c r="BO150" s="39"/>
      <c r="BP150" s="39"/>
      <c r="BQ150" s="39"/>
      <c r="BR150" s="323"/>
      <c r="BS150" s="323"/>
      <c r="BT150" s="39"/>
      <c r="BW150" s="39"/>
      <c r="BX150" s="38"/>
    </row>
    <row r="151" spans="1:76" s="201" customFormat="1" ht="16.5" customHeight="1" x14ac:dyDescent="0.25">
      <c r="A151" s="200"/>
      <c r="B151" s="376"/>
      <c r="C151" s="214" t="s">
        <v>9</v>
      </c>
      <c r="D151" s="214" t="s">
        <v>8</v>
      </c>
      <c r="E151" s="213"/>
      <c r="F151" s="213"/>
      <c r="G151" s="197"/>
      <c r="H151" s="196"/>
      <c r="I151" s="212"/>
      <c r="J151" s="212"/>
      <c r="K151" s="238" t="s">
        <v>34</v>
      </c>
      <c r="L151" s="237" t="s">
        <v>96</v>
      </c>
      <c r="M151" s="211" t="s">
        <v>13</v>
      </c>
      <c r="N151" s="210">
        <f>P151</f>
        <v>116134452.63392857</v>
      </c>
      <c r="O151" s="210">
        <f>Q151</f>
        <v>130070586.95</v>
      </c>
      <c r="P151" s="210">
        <f>Q151/1.12</f>
        <v>116134452.63392857</v>
      </c>
      <c r="Q151" s="210">
        <v>130070586.95</v>
      </c>
      <c r="R151" s="191"/>
      <c r="S151" s="104">
        <v>119</v>
      </c>
      <c r="T151" s="315"/>
      <c r="U151" s="315"/>
      <c r="V151" s="315"/>
      <c r="W151" s="315"/>
      <c r="X151" s="315"/>
      <c r="Y151" s="315"/>
      <c r="Z151" s="206"/>
      <c r="AA151" s="206"/>
      <c r="AB151" s="206"/>
      <c r="AC151" s="206"/>
      <c r="AD151" s="206"/>
      <c r="AE151" s="206"/>
      <c r="AF151" s="206"/>
      <c r="AG151" s="206"/>
      <c r="AH151" s="206"/>
      <c r="AI151" s="206"/>
      <c r="AJ151" s="206"/>
      <c r="AK151" s="206"/>
      <c r="AL151" s="206">
        <v>87677</v>
      </c>
      <c r="AM151" s="203">
        <f>AL151*1.12</f>
        <v>98198.24</v>
      </c>
      <c r="AN151" s="206">
        <f>71+48</f>
        <v>119</v>
      </c>
      <c r="AO151" s="203">
        <f>AL151-($AI$148/$AK$148*$AN$151)</f>
        <v>-73788.643231899245</v>
      </c>
      <c r="AP151" s="203">
        <f>AM151-($AJ$148/$AK$148*$AN$151)</f>
        <v>-82643.280419727191</v>
      </c>
      <c r="AQ151" s="203">
        <f>AN151-S151</f>
        <v>0</v>
      </c>
      <c r="AR151" s="205" t="str">
        <f>IF(AI151=0,"",AL151/AI151)</f>
        <v/>
      </c>
      <c r="AS151" s="204"/>
      <c r="AT151" s="204"/>
      <c r="AU151" s="204"/>
      <c r="AV151" s="203">
        <f>ROUND(P151/1000,0)</f>
        <v>116134</v>
      </c>
      <c r="AW151" s="203">
        <f>AV151*1.12</f>
        <v>130070.08000000002</v>
      </c>
      <c r="AX151" s="203">
        <f>S151</f>
        <v>119</v>
      </c>
      <c r="AY151" s="203"/>
      <c r="AZ151" s="203">
        <f>AL151-$AI$148/$AK$148*AN151</f>
        <v>-73788.643231899245</v>
      </c>
      <c r="BA151" s="203"/>
      <c r="BB151" s="203"/>
      <c r="BC151" s="203"/>
      <c r="BD151" s="203"/>
      <c r="BE151" s="203"/>
      <c r="BF151" s="203"/>
      <c r="BG151" s="203"/>
      <c r="BH151" s="203"/>
      <c r="BI151" s="203"/>
      <c r="BJ151" s="203"/>
      <c r="BK151" s="203"/>
      <c r="BL151" s="203"/>
      <c r="BM151" s="334"/>
      <c r="BN151" s="334"/>
      <c r="BO151" s="202"/>
      <c r="BP151" s="202"/>
      <c r="BQ151" s="202"/>
      <c r="BR151" s="334"/>
      <c r="BS151" s="334"/>
      <c r="BT151" s="202"/>
      <c r="BW151" s="202"/>
      <c r="BX151" s="314"/>
    </row>
    <row r="152" spans="1:76" s="57" customFormat="1" ht="16.5" customHeight="1" x14ac:dyDescent="0.25">
      <c r="A152" s="200"/>
      <c r="B152" s="376"/>
      <c r="C152" s="70" t="s">
        <v>6</v>
      </c>
      <c r="D152" s="70" t="s">
        <v>26</v>
      </c>
      <c r="E152" s="198"/>
      <c r="F152" s="198"/>
      <c r="G152" s="197"/>
      <c r="H152" s="196"/>
      <c r="I152" s="195"/>
      <c r="J152" s="195"/>
      <c r="K152" s="236"/>
      <c r="L152" s="235"/>
      <c r="M152" s="193"/>
      <c r="N152" s="50">
        <f>P152</f>
        <v>116134452.63392857</v>
      </c>
      <c r="O152" s="50">
        <f>Q152</f>
        <v>130070586.95</v>
      </c>
      <c r="P152" s="51">
        <f>Q152/1.12</f>
        <v>116134452.63392857</v>
      </c>
      <c r="Q152" s="51">
        <f>Q151</f>
        <v>130070586.95</v>
      </c>
      <c r="R152" s="191"/>
      <c r="S152" s="104"/>
      <c r="T152" s="47"/>
      <c r="U152" s="47"/>
      <c r="V152" s="47"/>
      <c r="W152" s="47"/>
      <c r="X152" s="47"/>
      <c r="Y152" s="47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127">
        <f>43531.47581/1.12+31288.21773/1.12</f>
        <v>66803.297803571419</v>
      </c>
      <c r="AM152" s="64">
        <f>AL152*1.12</f>
        <v>74819.693539999993</v>
      </c>
      <c r="AN152" s="66"/>
      <c r="AO152" s="64">
        <f>AL152-($AI$149/$AK$148*$AN$151)</f>
        <v>-76533.388450363505</v>
      </c>
      <c r="AP152" s="64">
        <f>AM152-($AJ$149/$AK$148*$AN$151)</f>
        <v>-85717.39506440713</v>
      </c>
      <c r="AQ152" s="62"/>
      <c r="AR152" s="189" t="str">
        <f>IF(AI152=0,"",AL152/AI152)</f>
        <v/>
      </c>
      <c r="AS152" s="115"/>
      <c r="AT152" s="115">
        <f>AL152</f>
        <v>66803.297803571419</v>
      </c>
      <c r="AU152" s="63"/>
      <c r="AV152" s="64">
        <f>ROUND(P152/1000,0)</f>
        <v>116134</v>
      </c>
      <c r="AW152" s="62">
        <f>AV152*1.12</f>
        <v>130070.08000000002</v>
      </c>
      <c r="AX152" s="62"/>
      <c r="AY152" s="62"/>
      <c r="AZ152" s="62"/>
      <c r="BA152" s="62"/>
      <c r="BB152" s="62"/>
      <c r="BC152" s="62"/>
      <c r="BD152" s="62"/>
      <c r="BE152" s="62"/>
      <c r="BF152" s="62"/>
      <c r="BG152" s="62"/>
      <c r="BH152" s="62"/>
      <c r="BI152" s="62"/>
      <c r="BJ152" s="62"/>
      <c r="BK152" s="62"/>
      <c r="BL152" s="62"/>
      <c r="BM152" s="330"/>
      <c r="BN152" s="330"/>
      <c r="BO152" s="59"/>
      <c r="BP152" s="59"/>
      <c r="BQ152" s="59"/>
      <c r="BR152" s="330"/>
      <c r="BS152" s="330"/>
      <c r="BT152" s="59"/>
      <c r="BW152" s="59"/>
      <c r="BX152" s="58"/>
    </row>
    <row r="153" spans="1:76" ht="16.5" customHeight="1" x14ac:dyDescent="0.25">
      <c r="A153" s="200"/>
      <c r="B153" s="376"/>
      <c r="C153" s="53" t="s">
        <v>6</v>
      </c>
      <c r="D153" s="53" t="s">
        <v>5</v>
      </c>
      <c r="E153" s="186"/>
      <c r="F153" s="186"/>
      <c r="G153" s="197"/>
      <c r="H153" s="196"/>
      <c r="I153" s="183"/>
      <c r="J153" s="183"/>
      <c r="K153" s="234"/>
      <c r="L153" s="233"/>
      <c r="M153" s="181"/>
      <c r="N153" s="50">
        <f>P153</f>
        <v>116134452.63392857</v>
      </c>
      <c r="O153" s="50">
        <f>Q153</f>
        <v>130070586.95</v>
      </c>
      <c r="P153" s="50">
        <f>Q153/1.12</f>
        <v>116134452.63392857</v>
      </c>
      <c r="Q153" s="50">
        <f>Q152</f>
        <v>130070586.95</v>
      </c>
      <c r="R153" s="191"/>
      <c r="S153" s="104"/>
      <c r="T153" s="47"/>
      <c r="U153" s="47"/>
      <c r="V153" s="47"/>
      <c r="W153" s="47"/>
      <c r="X153" s="47"/>
      <c r="Y153" s="47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103">
        <f>AL152</f>
        <v>66803.297803571419</v>
      </c>
      <c r="AM153" s="44">
        <f>AM152</f>
        <v>74819.693539999993</v>
      </c>
      <c r="AN153" s="46"/>
      <c r="AO153" s="44">
        <f>AL153-($AI$150/$AK$148*$AN$151)</f>
        <v>-76533.388450363505</v>
      </c>
      <c r="AP153" s="44">
        <f>AM153-($AJ$150/$AK$148*$AN$151)</f>
        <v>-85717.39506440713</v>
      </c>
      <c r="AQ153" s="41"/>
      <c r="AR153" s="178" t="str">
        <f>IF(AI153=0,"",AL153/AI153)</f>
        <v/>
      </c>
      <c r="AS153" s="101"/>
      <c r="AT153" s="101">
        <f>AL153</f>
        <v>66803.297803571419</v>
      </c>
      <c r="AU153" s="42"/>
      <c r="AV153" s="44">
        <f>AV152</f>
        <v>116134</v>
      </c>
      <c r="AW153" s="41">
        <f>AV153*1.12</f>
        <v>130070.08000000002</v>
      </c>
      <c r="AX153" s="41"/>
      <c r="AY153" s="41"/>
      <c r="AZ153" s="41"/>
      <c r="BA153" s="41"/>
      <c r="BB153" s="41"/>
      <c r="BC153" s="41"/>
      <c r="BD153" s="41"/>
      <c r="BE153" s="41"/>
      <c r="BF153" s="41"/>
      <c r="BG153" s="41"/>
      <c r="BH153" s="41"/>
      <c r="BI153" s="41"/>
      <c r="BJ153" s="41"/>
      <c r="BK153" s="41"/>
      <c r="BL153" s="41"/>
      <c r="BM153" s="323"/>
      <c r="BN153" s="323"/>
      <c r="BO153" s="39"/>
      <c r="BP153" s="39"/>
      <c r="BQ153" s="39"/>
      <c r="BR153" s="323"/>
      <c r="BS153" s="323"/>
      <c r="BT153" s="39"/>
      <c r="BW153" s="39"/>
      <c r="BX153" s="38"/>
    </row>
    <row r="154" spans="1:76" s="201" customFormat="1" ht="16.5" customHeight="1" x14ac:dyDescent="0.25">
      <c r="A154" s="200"/>
      <c r="B154" s="376"/>
      <c r="C154" s="214" t="s">
        <v>9</v>
      </c>
      <c r="D154" s="214" t="s">
        <v>8</v>
      </c>
      <c r="E154" s="213"/>
      <c r="F154" s="213"/>
      <c r="G154" s="197"/>
      <c r="H154" s="196"/>
      <c r="I154" s="212"/>
      <c r="J154" s="212"/>
      <c r="K154" s="337" t="s">
        <v>40</v>
      </c>
      <c r="L154" s="336" t="s">
        <v>90</v>
      </c>
      <c r="M154" s="268" t="s">
        <v>13</v>
      </c>
      <c r="N154" s="210">
        <f>P154</f>
        <v>81001340.910714269</v>
      </c>
      <c r="O154" s="210">
        <f>Q154</f>
        <v>90721501.819999993</v>
      </c>
      <c r="P154" s="210">
        <f>Q154/1.12</f>
        <v>81001340.910714269</v>
      </c>
      <c r="Q154" s="210">
        <v>90721501.819999993</v>
      </c>
      <c r="R154" s="191"/>
      <c r="S154" s="104">
        <v>83</v>
      </c>
      <c r="T154" s="315"/>
      <c r="U154" s="315"/>
      <c r="V154" s="315"/>
      <c r="W154" s="315"/>
      <c r="X154" s="315"/>
      <c r="Y154" s="315"/>
      <c r="Z154" s="206"/>
      <c r="AA154" s="206"/>
      <c r="AB154" s="206"/>
      <c r="AC154" s="206"/>
      <c r="AD154" s="206"/>
      <c r="AE154" s="206"/>
      <c r="AF154" s="206"/>
      <c r="AG154" s="206"/>
      <c r="AH154" s="206"/>
      <c r="AI154" s="206"/>
      <c r="AJ154" s="206"/>
      <c r="AK154" s="206"/>
      <c r="AL154" s="206">
        <v>56925</v>
      </c>
      <c r="AM154" s="203">
        <f>AL154*1.12</f>
        <v>63756.000000000007</v>
      </c>
      <c r="AN154" s="206">
        <f>69+14</f>
        <v>83</v>
      </c>
      <c r="AO154" s="203">
        <f>AL154-($AI$148/$AK$148*$AN$154)</f>
        <v>-55693.894018887717</v>
      </c>
      <c r="AP154" s="203">
        <f>AM154-($AJ$148/$AK$148*$AN$154)</f>
        <v>-62377.161301154258</v>
      </c>
      <c r="AQ154" s="203">
        <f>AN154-S154</f>
        <v>0</v>
      </c>
      <c r="AR154" s="205" t="str">
        <f>IF(AI154=0,"",AL154/AI154)</f>
        <v/>
      </c>
      <c r="AS154" s="204"/>
      <c r="AT154" s="204"/>
      <c r="AU154" s="204"/>
      <c r="AV154" s="203">
        <f>ROUND(P154/1000,0)</f>
        <v>81001</v>
      </c>
      <c r="AW154" s="203">
        <f>AV154*1.12</f>
        <v>90721.12000000001</v>
      </c>
      <c r="AX154" s="203">
        <f>S154</f>
        <v>83</v>
      </c>
      <c r="AY154" s="203"/>
      <c r="AZ154" s="203">
        <f>AL154-$AI$148/$AK$148*AN154</f>
        <v>-55693.894018887717</v>
      </c>
      <c r="BA154" s="203"/>
      <c r="BB154" s="203"/>
      <c r="BC154" s="203"/>
      <c r="BD154" s="203"/>
      <c r="BE154" s="203"/>
      <c r="BF154" s="203"/>
      <c r="BG154" s="203"/>
      <c r="BH154" s="203"/>
      <c r="BI154" s="203"/>
      <c r="BJ154" s="203"/>
      <c r="BK154" s="203"/>
      <c r="BL154" s="203"/>
      <c r="BM154" s="334"/>
      <c r="BN154" s="334"/>
      <c r="BO154" s="202"/>
      <c r="BP154" s="202"/>
      <c r="BQ154" s="202"/>
      <c r="BR154" s="334"/>
      <c r="BS154" s="334"/>
      <c r="BT154" s="202"/>
      <c r="BW154" s="202"/>
      <c r="BX154" s="314"/>
    </row>
    <row r="155" spans="1:76" s="57" customFormat="1" ht="16.5" customHeight="1" x14ac:dyDescent="0.25">
      <c r="A155" s="200"/>
      <c r="B155" s="376"/>
      <c r="C155" s="70" t="s">
        <v>6</v>
      </c>
      <c r="D155" s="70" t="s">
        <v>26</v>
      </c>
      <c r="E155" s="198"/>
      <c r="F155" s="198"/>
      <c r="G155" s="197"/>
      <c r="H155" s="196"/>
      <c r="I155" s="195"/>
      <c r="J155" s="195"/>
      <c r="K155" s="337"/>
      <c r="L155" s="336"/>
      <c r="M155" s="268"/>
      <c r="N155" s="50">
        <f>P155</f>
        <v>81001340.910714269</v>
      </c>
      <c r="O155" s="50">
        <f>Q155</f>
        <v>90721501.819999993</v>
      </c>
      <c r="P155" s="51">
        <f>Q155/1.12</f>
        <v>81001340.910714269</v>
      </c>
      <c r="Q155" s="51">
        <f>Q154</f>
        <v>90721501.819999993</v>
      </c>
      <c r="R155" s="191"/>
      <c r="S155" s="104"/>
      <c r="T155" s="47"/>
      <c r="U155" s="47"/>
      <c r="V155" s="47"/>
      <c r="W155" s="47"/>
      <c r="X155" s="47"/>
      <c r="Y155" s="47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117">
        <f>63362.06082/1.12</f>
        <v>56573.268589285704</v>
      </c>
      <c r="AM155" s="64">
        <f>AL155*1.12</f>
        <v>63362.060819999992</v>
      </c>
      <c r="AN155" s="66"/>
      <c r="AO155" s="129">
        <f>AL155-($AI$149/$AK$148*$AN$154)</f>
        <v>-43401.058797912607</v>
      </c>
      <c r="AP155" s="129">
        <f>AO155*1.12</f>
        <v>-48609.185853662122</v>
      </c>
      <c r="AQ155" s="62"/>
      <c r="AR155" s="189" t="str">
        <f>IF(AI155=0,"",AL155/AI155)</f>
        <v/>
      </c>
      <c r="AS155" s="115"/>
      <c r="AT155" s="115">
        <f>AL155</f>
        <v>56573.268589285704</v>
      </c>
      <c r="AU155" s="63"/>
      <c r="AV155" s="64">
        <f>ROUND(P155/1000,0)</f>
        <v>81001</v>
      </c>
      <c r="AW155" s="62">
        <f>AV155*1.12</f>
        <v>90721.12000000001</v>
      </c>
      <c r="AX155" s="62"/>
      <c r="AY155" s="62"/>
      <c r="AZ155" s="62"/>
      <c r="BA155" s="62"/>
      <c r="BB155" s="62"/>
      <c r="BC155" s="62"/>
      <c r="BD155" s="62"/>
      <c r="BE155" s="62"/>
      <c r="BF155" s="62"/>
      <c r="BG155" s="62"/>
      <c r="BH155" s="62"/>
      <c r="BI155" s="62"/>
      <c r="BJ155" s="62"/>
      <c r="BK155" s="62"/>
      <c r="BL155" s="62"/>
      <c r="BM155" s="330"/>
      <c r="BN155" s="330"/>
      <c r="BO155" s="59"/>
      <c r="BP155" s="59"/>
      <c r="BQ155" s="59"/>
      <c r="BR155" s="330"/>
      <c r="BS155" s="330"/>
      <c r="BT155" s="59"/>
      <c r="BW155" s="59"/>
      <c r="BX155" s="58"/>
    </row>
    <row r="156" spans="1:76" ht="16.5" customHeight="1" x14ac:dyDescent="0.25">
      <c r="A156" s="200"/>
      <c r="B156" s="376"/>
      <c r="C156" s="53" t="s">
        <v>6</v>
      </c>
      <c r="D156" s="53" t="s">
        <v>5</v>
      </c>
      <c r="E156" s="186"/>
      <c r="F156" s="186"/>
      <c r="G156" s="197"/>
      <c r="H156" s="196"/>
      <c r="I156" s="183"/>
      <c r="J156" s="183"/>
      <c r="K156" s="337"/>
      <c r="L156" s="336"/>
      <c r="M156" s="268"/>
      <c r="N156" s="50">
        <f>P156</f>
        <v>81001340.910714269</v>
      </c>
      <c r="O156" s="50">
        <f>Q156</f>
        <v>90721501.819999993</v>
      </c>
      <c r="P156" s="50">
        <f>Q156/1.12</f>
        <v>81001340.910714269</v>
      </c>
      <c r="Q156" s="50">
        <f>Q155</f>
        <v>90721501.819999993</v>
      </c>
      <c r="R156" s="56"/>
      <c r="S156" s="104"/>
      <c r="T156" s="47"/>
      <c r="U156" s="47"/>
      <c r="V156" s="47"/>
      <c r="W156" s="47"/>
      <c r="X156" s="47"/>
      <c r="Y156" s="47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103">
        <f>AL155</f>
        <v>56573.268589285704</v>
      </c>
      <c r="AM156" s="44">
        <f>AM155</f>
        <v>63362.060819999992</v>
      </c>
      <c r="AN156" s="46"/>
      <c r="AO156" s="137">
        <f>AO155</f>
        <v>-43401.058797912607</v>
      </c>
      <c r="AP156" s="137">
        <f>AP155</f>
        <v>-48609.185853662122</v>
      </c>
      <c r="AQ156" s="41"/>
      <c r="AR156" s="178" t="str">
        <f>IF(AI156=0,"",AL156/AI156)</f>
        <v/>
      </c>
      <c r="AS156" s="101"/>
      <c r="AT156" s="101">
        <f>AL156</f>
        <v>56573.268589285704</v>
      </c>
      <c r="AU156" s="42"/>
      <c r="AV156" s="44">
        <f>AV155</f>
        <v>81001</v>
      </c>
      <c r="AW156" s="41">
        <f>AV156*1.12</f>
        <v>90721.12000000001</v>
      </c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  <c r="BH156" s="41"/>
      <c r="BI156" s="41"/>
      <c r="BJ156" s="41"/>
      <c r="BK156" s="41"/>
      <c r="BL156" s="41"/>
      <c r="BM156" s="323"/>
      <c r="BN156" s="323"/>
      <c r="BO156" s="39"/>
      <c r="BP156" s="39"/>
      <c r="BQ156" s="39"/>
      <c r="BR156" s="323"/>
      <c r="BS156" s="323"/>
      <c r="BT156" s="39"/>
      <c r="BW156" s="39"/>
      <c r="BX156" s="38"/>
    </row>
    <row r="157" spans="1:76" s="201" customFormat="1" ht="16.5" customHeight="1" x14ac:dyDescent="0.25">
      <c r="A157" s="200"/>
      <c r="B157" s="376"/>
      <c r="C157" s="214" t="s">
        <v>9</v>
      </c>
      <c r="D157" s="214" t="s">
        <v>8</v>
      </c>
      <c r="E157" s="213"/>
      <c r="F157" s="213"/>
      <c r="G157" s="197"/>
      <c r="H157" s="196"/>
      <c r="I157" s="212"/>
      <c r="J157" s="212"/>
      <c r="K157" s="118" t="s">
        <v>55</v>
      </c>
      <c r="L157" s="244" t="s">
        <v>89</v>
      </c>
      <c r="M157" s="268" t="s">
        <v>13</v>
      </c>
      <c r="N157" s="210">
        <f>P157</f>
        <v>222505999.99999997</v>
      </c>
      <c r="O157" s="210">
        <f>Q157</f>
        <v>249206720</v>
      </c>
      <c r="P157" s="210">
        <f>Q157/1.12</f>
        <v>222505999.99999997</v>
      </c>
      <c r="Q157" s="210">
        <v>249206720</v>
      </c>
      <c r="R157" s="113" t="s">
        <v>32</v>
      </c>
      <c r="S157" s="104">
        <v>228</v>
      </c>
      <c r="T157" s="315"/>
      <c r="U157" s="315"/>
      <c r="V157" s="315"/>
      <c r="W157" s="315"/>
      <c r="X157" s="315"/>
      <c r="Y157" s="315"/>
      <c r="Z157" s="206"/>
      <c r="AA157" s="206"/>
      <c r="AB157" s="206"/>
      <c r="AC157" s="206"/>
      <c r="AD157" s="206"/>
      <c r="AE157" s="206"/>
      <c r="AF157" s="206"/>
      <c r="AG157" s="206"/>
      <c r="AH157" s="206"/>
      <c r="AI157" s="206"/>
      <c r="AJ157" s="206"/>
      <c r="AK157" s="206"/>
      <c r="AL157" s="206">
        <v>187036</v>
      </c>
      <c r="AM157" s="203">
        <f>AL157*1.12</f>
        <v>209480.32000000001</v>
      </c>
      <c r="AN157" s="206">
        <f>193+24+11</f>
        <v>228</v>
      </c>
      <c r="AO157" s="203">
        <f>AL157-($AI$148/$AK$148*$AN$157)</f>
        <v>-122326.74501573975</v>
      </c>
      <c r="AP157" s="203">
        <f>AM157-($AJ$148/$AK$148*$AN$157)</f>
        <v>-137005.95441762853</v>
      </c>
      <c r="AQ157" s="203">
        <f>AN157-S157</f>
        <v>0</v>
      </c>
      <c r="AR157" s="205" t="str">
        <f>IF(AI157=0,"",AL157/AI157)</f>
        <v/>
      </c>
      <c r="AS157" s="204"/>
      <c r="AT157" s="204"/>
      <c r="AU157" s="204"/>
      <c r="AV157" s="203">
        <f>E148-AV148-AV151-AV154</f>
        <v>988596</v>
      </c>
      <c r="AW157" s="203">
        <f>AV157*1.12</f>
        <v>1107227.52</v>
      </c>
      <c r="AX157" s="203">
        <f>H148-AX148-AX151-AX154</f>
        <v>641</v>
      </c>
      <c r="AY157" s="203"/>
      <c r="AZ157" s="203">
        <f>AL157-$AI$148/$AK$148*AN157</f>
        <v>-122326.74501573975</v>
      </c>
      <c r="BA157" s="203"/>
      <c r="BB157" s="203"/>
      <c r="BC157" s="203"/>
      <c r="BD157" s="203"/>
      <c r="BE157" s="203"/>
      <c r="BF157" s="203"/>
      <c r="BG157" s="203"/>
      <c r="BH157" s="203"/>
      <c r="BI157" s="203"/>
      <c r="BJ157" s="203"/>
      <c r="BK157" s="203"/>
      <c r="BL157" s="203"/>
      <c r="BM157" s="334"/>
      <c r="BN157" s="334"/>
      <c r="BO157" s="202"/>
      <c r="BP157" s="202"/>
      <c r="BQ157" s="202"/>
      <c r="BR157" s="334"/>
      <c r="BS157" s="334"/>
      <c r="BT157" s="202"/>
      <c r="BW157" s="202"/>
      <c r="BX157" s="314"/>
    </row>
    <row r="158" spans="1:76" s="57" customFormat="1" ht="16.5" customHeight="1" x14ac:dyDescent="0.25">
      <c r="A158" s="200"/>
      <c r="B158" s="376"/>
      <c r="C158" s="70" t="s">
        <v>6</v>
      </c>
      <c r="D158" s="70" t="s">
        <v>26</v>
      </c>
      <c r="E158" s="198"/>
      <c r="F158" s="198"/>
      <c r="G158" s="197"/>
      <c r="H158" s="196"/>
      <c r="I158" s="195"/>
      <c r="J158" s="195"/>
      <c r="K158" s="194"/>
      <c r="L158" s="244"/>
      <c r="M158" s="268"/>
      <c r="N158" s="50">
        <f>P158</f>
        <v>222505999.99999997</v>
      </c>
      <c r="O158" s="50">
        <f>Q158</f>
        <v>249206720</v>
      </c>
      <c r="P158" s="51">
        <f>Q158/1.12</f>
        <v>222505999.99999997</v>
      </c>
      <c r="Q158" s="51">
        <f>Q157</f>
        <v>249206720</v>
      </c>
      <c r="R158" s="113"/>
      <c r="S158" s="104"/>
      <c r="T158" s="47"/>
      <c r="U158" s="47"/>
      <c r="V158" s="47"/>
      <c r="W158" s="47"/>
      <c r="X158" s="47"/>
      <c r="Y158" s="47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360">
        <f>85171.50466/1.12+62929.33537/1.12+22906.03524/1.12</f>
        <v>152684.71006249997</v>
      </c>
      <c r="AM158" s="64">
        <f>AL158*1.12</f>
        <v>171006.87526999999</v>
      </c>
      <c r="AN158" s="66"/>
      <c r="AO158" s="64">
        <f>AL158-($AI$149/$AK$148*$AN$157)</f>
        <v>-121943.56276016525</v>
      </c>
      <c r="AP158" s="64">
        <f>AM158-($AJ$149/$AK$148*$AN$157)</f>
        <v>-136576.79029138511</v>
      </c>
      <c r="AQ158" s="62"/>
      <c r="AR158" s="189" t="str">
        <f>IF(AI158=0,"",AL158/AI158)</f>
        <v/>
      </c>
      <c r="AS158" s="115"/>
      <c r="AT158" s="115">
        <f>AL158</f>
        <v>152684.71006249997</v>
      </c>
      <c r="AU158" s="63"/>
      <c r="AV158" s="64">
        <f>E149-AV149-AV152-AV155</f>
        <v>988596</v>
      </c>
      <c r="AW158" s="64">
        <f>AV158*1.12</f>
        <v>1107227.52</v>
      </c>
      <c r="AX158" s="62"/>
      <c r="AY158" s="62"/>
      <c r="AZ158" s="62"/>
      <c r="BA158" s="62"/>
      <c r="BB158" s="62"/>
      <c r="BC158" s="62"/>
      <c r="BD158" s="62"/>
      <c r="BE158" s="62"/>
      <c r="BF158" s="62"/>
      <c r="BG158" s="62"/>
      <c r="BH158" s="62"/>
      <c r="BI158" s="62"/>
      <c r="BJ158" s="62"/>
      <c r="BK158" s="62"/>
      <c r="BL158" s="62"/>
      <c r="BM158" s="330"/>
      <c r="BN158" s="330"/>
      <c r="BO158" s="59"/>
      <c r="BP158" s="59"/>
      <c r="BQ158" s="59"/>
      <c r="BR158" s="330"/>
      <c r="BS158" s="330"/>
      <c r="BT158" s="59"/>
      <c r="BU158" s="57">
        <v>7473083.46</v>
      </c>
      <c r="BW158" s="59"/>
      <c r="BX158" s="58"/>
    </row>
    <row r="159" spans="1:76" ht="16.5" customHeight="1" x14ac:dyDescent="0.25">
      <c r="A159" s="200"/>
      <c r="B159" s="376"/>
      <c r="C159" s="53" t="s">
        <v>6</v>
      </c>
      <c r="D159" s="53" t="s">
        <v>5</v>
      </c>
      <c r="E159" s="186"/>
      <c r="F159" s="186"/>
      <c r="G159" s="197"/>
      <c r="H159" s="196"/>
      <c r="I159" s="183"/>
      <c r="J159" s="183"/>
      <c r="K159" s="105"/>
      <c r="L159" s="244"/>
      <c r="M159" s="268"/>
      <c r="N159" s="50">
        <f>P159</f>
        <v>222505999.99999997</v>
      </c>
      <c r="O159" s="50">
        <f>Q159</f>
        <v>249206720</v>
      </c>
      <c r="P159" s="50">
        <f>Q159/1.12</f>
        <v>222505999.99999997</v>
      </c>
      <c r="Q159" s="50">
        <f>Q158</f>
        <v>249206720</v>
      </c>
      <c r="R159" s="113"/>
      <c r="S159" s="104"/>
      <c r="T159" s="47"/>
      <c r="U159" s="47"/>
      <c r="V159" s="47"/>
      <c r="W159" s="47"/>
      <c r="X159" s="47"/>
      <c r="Y159" s="47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103">
        <f>AL158</f>
        <v>152684.71006249997</v>
      </c>
      <c r="AM159" s="44">
        <f>AL159*1.12</f>
        <v>171006.87526999999</v>
      </c>
      <c r="AN159" s="46"/>
      <c r="AO159" s="44">
        <f>AL159-($AI$150/$AK$148*$AN$157)</f>
        <v>-121943.56276016525</v>
      </c>
      <c r="AP159" s="44">
        <f>AM159-($AJ$150/$AK$148*$AN$157)</f>
        <v>-136576.79029138511</v>
      </c>
      <c r="AQ159" s="41"/>
      <c r="AR159" s="178" t="str">
        <f>IF(AI159=0,"",AL159/AI159)</f>
        <v/>
      </c>
      <c r="AS159" s="101"/>
      <c r="AT159" s="101">
        <f>AL159</f>
        <v>152684.71006249997</v>
      </c>
      <c r="AU159" s="42"/>
      <c r="AV159" s="44">
        <f>AV158</f>
        <v>988596</v>
      </c>
      <c r="AW159" s="44">
        <f>AV159*1.12</f>
        <v>1107227.52</v>
      </c>
      <c r="AX159" s="41"/>
      <c r="AY159" s="41"/>
      <c r="AZ159" s="41"/>
      <c r="BA159" s="41"/>
      <c r="BB159" s="41"/>
      <c r="BC159" s="41"/>
      <c r="BD159" s="41"/>
      <c r="BE159" s="41"/>
      <c r="BF159" s="41"/>
      <c r="BG159" s="41"/>
      <c r="BH159" s="41"/>
      <c r="BI159" s="41"/>
      <c r="BJ159" s="41"/>
      <c r="BK159" s="41"/>
      <c r="BL159" s="41"/>
      <c r="BM159" s="323"/>
      <c r="BN159" s="323"/>
      <c r="BO159" s="39"/>
      <c r="BP159" s="39"/>
      <c r="BQ159" s="39"/>
      <c r="BR159" s="323"/>
      <c r="BS159" s="323"/>
      <c r="BT159" s="39"/>
      <c r="BW159" s="39"/>
      <c r="BX159" s="38"/>
    </row>
    <row r="160" spans="1:76" s="201" customFormat="1" ht="16.5" customHeight="1" x14ac:dyDescent="0.25">
      <c r="A160" s="200"/>
      <c r="B160" s="376"/>
      <c r="C160" s="214" t="s">
        <v>9</v>
      </c>
      <c r="D160" s="214" t="s">
        <v>8</v>
      </c>
      <c r="E160" s="213"/>
      <c r="F160" s="213"/>
      <c r="G160" s="197"/>
      <c r="H160" s="196"/>
      <c r="I160" s="212"/>
      <c r="J160" s="377"/>
      <c r="K160" s="118" t="s">
        <v>34</v>
      </c>
      <c r="L160" s="224" t="s">
        <v>88</v>
      </c>
      <c r="M160" s="268" t="s">
        <v>13</v>
      </c>
      <c r="N160" s="210">
        <f>P160</f>
        <v>226247480.26785713</v>
      </c>
      <c r="O160" s="210">
        <f>Q160</f>
        <v>253397177.90000001</v>
      </c>
      <c r="P160" s="380">
        <f>Q160/1.12</f>
        <v>226247480.26785713</v>
      </c>
      <c r="Q160" s="210">
        <v>253397177.90000001</v>
      </c>
      <c r="R160" s="113" t="s">
        <v>101</v>
      </c>
      <c r="S160" s="104">
        <v>239</v>
      </c>
      <c r="T160" s="315"/>
      <c r="U160" s="315"/>
      <c r="V160" s="315"/>
      <c r="W160" s="315"/>
      <c r="X160" s="315"/>
      <c r="Y160" s="315"/>
      <c r="Z160" s="206"/>
      <c r="AA160" s="206"/>
      <c r="AB160" s="206"/>
      <c r="AC160" s="206"/>
      <c r="AD160" s="206"/>
      <c r="AE160" s="206"/>
      <c r="AF160" s="206"/>
      <c r="AG160" s="206"/>
      <c r="AH160" s="206"/>
      <c r="AI160" s="206"/>
      <c r="AJ160" s="206"/>
      <c r="AK160" s="206"/>
      <c r="AL160" s="206">
        <f>111105+58543</f>
        <v>169648</v>
      </c>
      <c r="AM160" s="203">
        <f>AL160*1.12</f>
        <v>190005.76000000001</v>
      </c>
      <c r="AN160" s="206">
        <f>106+75+58</f>
        <v>239</v>
      </c>
      <c r="AO160" s="203">
        <f>AL160-($AI$148/$AK$148*$AN$160)</f>
        <v>-154640.14060860442</v>
      </c>
      <c r="AP160" s="203">
        <f>AM160-($AJ$148/$AK$148*$AN$160)</f>
        <v>-173196.95748163696</v>
      </c>
      <c r="AQ160" s="203">
        <f>AN160-S160</f>
        <v>0</v>
      </c>
      <c r="AR160" s="205" t="str">
        <f>IF(AI160=0,"",AL160/AI160)</f>
        <v/>
      </c>
      <c r="AS160" s="204"/>
      <c r="AT160" s="204"/>
      <c r="AU160" s="204"/>
      <c r="AV160" s="203"/>
      <c r="AW160" s="203">
        <f>AV160*1.12</f>
        <v>0</v>
      </c>
      <c r="AX160" s="203"/>
      <c r="AY160" s="203"/>
      <c r="AZ160" s="203">
        <f>AL160-$AI$148/$AK$148*AN160</f>
        <v>-154640.14060860442</v>
      </c>
      <c r="BA160" s="203"/>
      <c r="BB160" s="203"/>
      <c r="BC160" s="203"/>
      <c r="BD160" s="203"/>
      <c r="BE160" s="203"/>
      <c r="BF160" s="203"/>
      <c r="BG160" s="203"/>
      <c r="BH160" s="203"/>
      <c r="BI160" s="203"/>
      <c r="BJ160" s="203"/>
      <c r="BK160" s="203"/>
      <c r="BL160" s="203"/>
      <c r="BM160" s="334"/>
      <c r="BN160" s="334"/>
      <c r="BO160" s="202"/>
      <c r="BP160" s="202"/>
      <c r="BQ160" s="202"/>
      <c r="BR160" s="334"/>
      <c r="BS160" s="334"/>
      <c r="BT160" s="202"/>
      <c r="BW160" s="202"/>
      <c r="BX160" s="314"/>
    </row>
    <row r="161" spans="1:76" s="57" customFormat="1" ht="16.5" customHeight="1" x14ac:dyDescent="0.25">
      <c r="A161" s="200"/>
      <c r="B161" s="376"/>
      <c r="C161" s="70" t="s">
        <v>6</v>
      </c>
      <c r="D161" s="70" t="s">
        <v>26</v>
      </c>
      <c r="E161" s="198"/>
      <c r="F161" s="198"/>
      <c r="G161" s="197"/>
      <c r="H161" s="196"/>
      <c r="I161" s="195"/>
      <c r="J161" s="375"/>
      <c r="K161" s="194"/>
      <c r="L161" s="222"/>
      <c r="M161" s="268"/>
      <c r="N161" s="50">
        <f>P161</f>
        <v>226247480.26785713</v>
      </c>
      <c r="O161" s="50">
        <f>Q161</f>
        <v>253397177.90000001</v>
      </c>
      <c r="P161" s="379">
        <f>Q161/1.12</f>
        <v>226247480.26785713</v>
      </c>
      <c r="Q161" s="51">
        <f>Q160</f>
        <v>253397177.90000001</v>
      </c>
      <c r="R161" s="113"/>
      <c r="S161" s="104"/>
      <c r="T161" s="47"/>
      <c r="U161" s="47"/>
      <c r="V161" s="47"/>
      <c r="W161" s="47"/>
      <c r="X161" s="47"/>
      <c r="Y161" s="47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317">
        <f>118439.71612/1.12</f>
        <v>105749.74653571428</v>
      </c>
      <c r="AM161" s="64">
        <f>AL161*1.12</f>
        <v>118439.71612</v>
      </c>
      <c r="AN161" s="66"/>
      <c r="AO161" s="64">
        <f>AL161-($AI$149/$AK$148*$AN$160)</f>
        <v>-182128.13594067606</v>
      </c>
      <c r="AP161" s="64">
        <f>AM161-($AJ$149/$AK$148*$AN$160)</f>
        <v>-203983.51225355716</v>
      </c>
      <c r="AQ161" s="62"/>
      <c r="AR161" s="189" t="str">
        <f>IF(AI161=0,"",AL161/AI161)</f>
        <v/>
      </c>
      <c r="AS161" s="115"/>
      <c r="AT161" s="115">
        <f>AL161</f>
        <v>105749.74653571428</v>
      </c>
      <c r="AU161" s="63"/>
      <c r="AV161" s="64">
        <f>AL161</f>
        <v>105749.74653571428</v>
      </c>
      <c r="AW161" s="64">
        <f>AV161*1.12</f>
        <v>118439.71612</v>
      </c>
      <c r="AX161" s="62"/>
      <c r="AY161" s="62"/>
      <c r="AZ161" s="62"/>
      <c r="BA161" s="62"/>
      <c r="BB161" s="62"/>
      <c r="BC161" s="62"/>
      <c r="BD161" s="62"/>
      <c r="BE161" s="62"/>
      <c r="BF161" s="62"/>
      <c r="BG161" s="62"/>
      <c r="BH161" s="62"/>
      <c r="BI161" s="62"/>
      <c r="BJ161" s="62"/>
      <c r="BK161" s="62"/>
      <c r="BL161" s="62"/>
      <c r="BM161" s="330"/>
      <c r="BN161" s="330"/>
      <c r="BO161" s="59"/>
      <c r="BP161" s="59"/>
      <c r="BQ161" s="59"/>
      <c r="BR161" s="330"/>
      <c r="BS161" s="330"/>
      <c r="BT161" s="59"/>
      <c r="BW161" s="59"/>
      <c r="BX161" s="58"/>
    </row>
    <row r="162" spans="1:76" ht="16.5" customHeight="1" x14ac:dyDescent="0.25">
      <c r="A162" s="200"/>
      <c r="B162" s="376"/>
      <c r="C162" s="53" t="s">
        <v>6</v>
      </c>
      <c r="D162" s="53" t="s">
        <v>5</v>
      </c>
      <c r="E162" s="186"/>
      <c r="F162" s="186"/>
      <c r="G162" s="197"/>
      <c r="H162" s="196"/>
      <c r="I162" s="183"/>
      <c r="J162" s="372"/>
      <c r="K162" s="105"/>
      <c r="L162" s="220"/>
      <c r="M162" s="268"/>
      <c r="N162" s="50">
        <f>P162</f>
        <v>226247480.26785713</v>
      </c>
      <c r="O162" s="50">
        <f>Q162</f>
        <v>253397177.90000001</v>
      </c>
      <c r="P162" s="378">
        <f>Q162/1.12</f>
        <v>226247480.26785713</v>
      </c>
      <c r="Q162" s="50">
        <f>Q161</f>
        <v>253397177.90000001</v>
      </c>
      <c r="R162" s="113"/>
      <c r="S162" s="104"/>
      <c r="T162" s="47"/>
      <c r="U162" s="47"/>
      <c r="V162" s="47"/>
      <c r="W162" s="47"/>
      <c r="X162" s="47"/>
      <c r="Y162" s="47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103">
        <f>AL161</f>
        <v>105749.74653571428</v>
      </c>
      <c r="AM162" s="44">
        <f>AM161</f>
        <v>118439.71612</v>
      </c>
      <c r="AN162" s="46"/>
      <c r="AO162" s="44">
        <f>AL162-($AI$150/$AK$148*$AN$160)</f>
        <v>-182128.13594067606</v>
      </c>
      <c r="AP162" s="44">
        <f>AM162-($AJ$150/$AK$148*$AN$160)</f>
        <v>-203983.51225355716</v>
      </c>
      <c r="AQ162" s="41"/>
      <c r="AR162" s="178" t="str">
        <f>IF(AI162=0,"",AL162/AI162)</f>
        <v/>
      </c>
      <c r="AS162" s="101"/>
      <c r="AT162" s="101">
        <f>AL162</f>
        <v>105749.74653571428</v>
      </c>
      <c r="AU162" s="42"/>
      <c r="AV162" s="44">
        <f>AL162</f>
        <v>105749.74653571428</v>
      </c>
      <c r="AW162" s="44">
        <f>AV162*1.12</f>
        <v>118439.71612</v>
      </c>
      <c r="AX162" s="41"/>
      <c r="AY162" s="41"/>
      <c r="AZ162" s="41"/>
      <c r="BA162" s="41"/>
      <c r="BB162" s="41"/>
      <c r="BC162" s="41"/>
      <c r="BD162" s="41"/>
      <c r="BE162" s="41"/>
      <c r="BF162" s="41"/>
      <c r="BG162" s="41"/>
      <c r="BH162" s="41"/>
      <c r="BI162" s="41"/>
      <c r="BJ162" s="41"/>
      <c r="BK162" s="41"/>
      <c r="BL162" s="41"/>
      <c r="BM162" s="323"/>
      <c r="BN162" s="323"/>
      <c r="BO162" s="39"/>
      <c r="BP162" s="39"/>
      <c r="BQ162" s="39"/>
      <c r="BR162" s="323"/>
      <c r="BS162" s="323"/>
      <c r="BT162" s="39"/>
      <c r="BW162" s="39"/>
      <c r="BX162" s="38"/>
    </row>
    <row r="163" spans="1:76" s="201" customFormat="1" ht="19.5" customHeight="1" x14ac:dyDescent="0.25">
      <c r="A163" s="200"/>
      <c r="B163" s="376"/>
      <c r="C163" s="214" t="s">
        <v>9</v>
      </c>
      <c r="D163" s="214" t="s">
        <v>8</v>
      </c>
      <c r="E163" s="213"/>
      <c r="F163" s="213"/>
      <c r="G163" s="197"/>
      <c r="H163" s="196"/>
      <c r="I163" s="212"/>
      <c r="J163" s="377"/>
      <c r="K163" s="371" t="s">
        <v>40</v>
      </c>
      <c r="L163" s="335" t="s">
        <v>86</v>
      </c>
      <c r="M163" s="211" t="s">
        <v>13</v>
      </c>
      <c r="N163" s="210">
        <f>P163</f>
        <v>162977999.99999997</v>
      </c>
      <c r="O163" s="210">
        <f>Q163</f>
        <v>182535360</v>
      </c>
      <c r="P163" s="380">
        <f>Q163/1.12</f>
        <v>162977999.99999997</v>
      </c>
      <c r="Q163" s="210">
        <v>182535360</v>
      </c>
      <c r="R163" s="113" t="s">
        <v>101</v>
      </c>
      <c r="S163" s="104">
        <v>167</v>
      </c>
      <c r="T163" s="315"/>
      <c r="U163" s="315"/>
      <c r="V163" s="315"/>
      <c r="W163" s="315"/>
      <c r="X163" s="315"/>
      <c r="Y163" s="315"/>
      <c r="Z163" s="206"/>
      <c r="AA163" s="206"/>
      <c r="AB163" s="206"/>
      <c r="AC163" s="206"/>
      <c r="AD163" s="206"/>
      <c r="AE163" s="206"/>
      <c r="AF163" s="206"/>
      <c r="AG163" s="206"/>
      <c r="AH163" s="206"/>
      <c r="AI163" s="206"/>
      <c r="AJ163" s="206"/>
      <c r="AK163" s="206"/>
      <c r="AL163" s="206">
        <v>155443</v>
      </c>
      <c r="AM163" s="203">
        <f>AL163*1.12</f>
        <v>174096.16</v>
      </c>
      <c r="AN163" s="206">
        <f>10+5+38+22+41+51</f>
        <v>167</v>
      </c>
      <c r="AO163" s="203">
        <f>AL163-($AI$148/$AK$148*$AN$163)</f>
        <v>-71151.642182581301</v>
      </c>
      <c r="AP163" s="203">
        <f>AM163-($AJ$148/$AK$148*$AN$163)</f>
        <v>-79689.839244491101</v>
      </c>
      <c r="AQ163" s="203">
        <f>AN163-S163</f>
        <v>0</v>
      </c>
      <c r="AR163" s="205" t="str">
        <f>IF(AI163=0,"",AL163/AI163)</f>
        <v/>
      </c>
      <c r="AS163" s="204"/>
      <c r="AT163" s="204"/>
      <c r="AU163" s="204"/>
      <c r="AV163" s="203"/>
      <c r="AW163" s="203">
        <f>AV163*1.12</f>
        <v>0</v>
      </c>
      <c r="AX163" s="203"/>
      <c r="AY163" s="203"/>
      <c r="AZ163" s="203">
        <f>AO163</f>
        <v>-71151.642182581301</v>
      </c>
      <c r="BA163" s="203"/>
      <c r="BB163" s="203"/>
      <c r="BC163" s="203"/>
      <c r="BD163" s="203"/>
      <c r="BE163" s="203"/>
      <c r="BF163" s="203"/>
      <c r="BG163" s="203"/>
      <c r="BH163" s="203"/>
      <c r="BI163" s="203"/>
      <c r="BJ163" s="203"/>
      <c r="BK163" s="203"/>
      <c r="BL163" s="203"/>
      <c r="BM163" s="334"/>
      <c r="BN163" s="334"/>
      <c r="BO163" s="202"/>
      <c r="BP163" s="202"/>
      <c r="BQ163" s="202"/>
      <c r="BR163" s="334"/>
      <c r="BS163" s="334"/>
      <c r="BT163" s="202"/>
      <c r="BW163" s="202"/>
      <c r="BX163" s="314"/>
    </row>
    <row r="164" spans="1:76" s="57" customFormat="1" ht="19.5" customHeight="1" x14ac:dyDescent="0.25">
      <c r="A164" s="200"/>
      <c r="B164" s="376"/>
      <c r="C164" s="70" t="s">
        <v>6</v>
      </c>
      <c r="D164" s="70" t="s">
        <v>26</v>
      </c>
      <c r="E164" s="198"/>
      <c r="F164" s="198"/>
      <c r="G164" s="197"/>
      <c r="H164" s="196"/>
      <c r="I164" s="195"/>
      <c r="J164" s="375"/>
      <c r="K164" s="371"/>
      <c r="L164" s="333"/>
      <c r="M164" s="193"/>
      <c r="N164" s="50">
        <f>P164</f>
        <v>162977999.99999997</v>
      </c>
      <c r="O164" s="50">
        <f>Q164</f>
        <v>182535360</v>
      </c>
      <c r="P164" s="379">
        <f>Q164/1.12</f>
        <v>162977999.99999997</v>
      </c>
      <c r="Q164" s="51">
        <f>Q163</f>
        <v>182535360</v>
      </c>
      <c r="R164" s="113"/>
      <c r="S164" s="104"/>
      <c r="T164" s="47"/>
      <c r="U164" s="47"/>
      <c r="V164" s="47"/>
      <c r="W164" s="47"/>
      <c r="X164" s="47"/>
      <c r="Y164" s="47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317">
        <f>2790.34442/1.12+29069.56315/1.12+18594.40886/1.12</f>
        <v>45048.496812500001</v>
      </c>
      <c r="AM164" s="64">
        <f>AL164*1.12</f>
        <v>50454.316430000006</v>
      </c>
      <c r="AN164" s="66"/>
      <c r="AO164" s="64">
        <f>AL164-($AI$149/$AK$148*$AN$163)</f>
        <v>-156104.66793041708</v>
      </c>
      <c r="AP164" s="64">
        <f>AM164-($AJ$149/$AK$148*$AN$163)</f>
        <v>-174837.22808206716</v>
      </c>
      <c r="AQ164" s="62"/>
      <c r="AR164" s="189" t="str">
        <f>IF(AI164=0,"",AL164/AI164)</f>
        <v/>
      </c>
      <c r="AS164" s="115"/>
      <c r="AT164" s="115">
        <f>AL164</f>
        <v>45048.496812500001</v>
      </c>
      <c r="AU164" s="63"/>
      <c r="AV164" s="64">
        <f>AL164</f>
        <v>45048.496812500001</v>
      </c>
      <c r="AW164" s="64">
        <f>AV164*1.12</f>
        <v>50454.316430000006</v>
      </c>
      <c r="AX164" s="62"/>
      <c r="AY164" s="62"/>
      <c r="AZ164" s="62"/>
      <c r="BA164" s="62"/>
      <c r="BB164" s="62"/>
      <c r="BC164" s="62"/>
      <c r="BD164" s="62"/>
      <c r="BE164" s="62"/>
      <c r="BF164" s="62"/>
      <c r="BG164" s="62"/>
      <c r="BH164" s="62"/>
      <c r="BI164" s="62"/>
      <c r="BJ164" s="62"/>
      <c r="BK164" s="62"/>
      <c r="BL164" s="62"/>
      <c r="BM164" s="330"/>
      <c r="BN164" s="330"/>
      <c r="BO164" s="59"/>
      <c r="BP164" s="59"/>
      <c r="BQ164" s="59"/>
      <c r="BR164" s="330"/>
      <c r="BS164" s="330"/>
      <c r="BT164" s="59"/>
      <c r="BU164" s="57">
        <v>2828835.66</v>
      </c>
      <c r="BV164" s="57">
        <v>32524934.399999999</v>
      </c>
      <c r="BW164" s="59"/>
      <c r="BX164" s="58"/>
    </row>
    <row r="165" spans="1:76" ht="19.5" customHeight="1" x14ac:dyDescent="0.25">
      <c r="A165" s="200"/>
      <c r="B165" s="376"/>
      <c r="C165" s="53" t="s">
        <v>6</v>
      </c>
      <c r="D165" s="53" t="s">
        <v>5</v>
      </c>
      <c r="E165" s="186"/>
      <c r="F165" s="186"/>
      <c r="G165" s="197"/>
      <c r="H165" s="196"/>
      <c r="I165" s="183"/>
      <c r="J165" s="372"/>
      <c r="K165" s="371"/>
      <c r="L165" s="326"/>
      <c r="M165" s="181"/>
      <c r="N165" s="50">
        <f>P165</f>
        <v>162977999.99999997</v>
      </c>
      <c r="O165" s="50">
        <f>Q165</f>
        <v>182535360</v>
      </c>
      <c r="P165" s="378">
        <f>Q165/1.12</f>
        <v>162977999.99999997</v>
      </c>
      <c r="Q165" s="50">
        <f>Q164</f>
        <v>182535360</v>
      </c>
      <c r="R165" s="113"/>
      <c r="S165" s="104"/>
      <c r="T165" s="47"/>
      <c r="U165" s="47"/>
      <c r="V165" s="47"/>
      <c r="W165" s="47"/>
      <c r="X165" s="47"/>
      <c r="Y165" s="47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103">
        <f>AL164</f>
        <v>45048.496812500001</v>
      </c>
      <c r="AM165" s="44">
        <f>AL165*1.12</f>
        <v>50454.316430000006</v>
      </c>
      <c r="AN165" s="46"/>
      <c r="AO165" s="44">
        <f>AL165-($AI$150/$AK$148*$AN$163)</f>
        <v>-156104.66793041708</v>
      </c>
      <c r="AP165" s="44">
        <f>AM165-($AJ$150/$AK$148*$AN$163)</f>
        <v>-174837.22808206716</v>
      </c>
      <c r="AQ165" s="41"/>
      <c r="AR165" s="178" t="str">
        <f>IF(AI165=0,"",AL165/AI165)</f>
        <v/>
      </c>
      <c r="AS165" s="101"/>
      <c r="AT165" s="101">
        <f>AL165</f>
        <v>45048.496812500001</v>
      </c>
      <c r="AU165" s="42"/>
      <c r="AV165" s="44">
        <f>AL165</f>
        <v>45048.496812500001</v>
      </c>
      <c r="AW165" s="44">
        <f>AV165*1.12</f>
        <v>50454.316430000006</v>
      </c>
      <c r="AX165" s="41"/>
      <c r="AY165" s="41"/>
      <c r="AZ165" s="41"/>
      <c r="BA165" s="41"/>
      <c r="BB165" s="41"/>
      <c r="BC165" s="41"/>
      <c r="BD165" s="41"/>
      <c r="BE165" s="41"/>
      <c r="BF165" s="41"/>
      <c r="BG165" s="41"/>
      <c r="BH165" s="41"/>
      <c r="BI165" s="41"/>
      <c r="BJ165" s="41"/>
      <c r="BK165" s="41"/>
      <c r="BL165" s="41"/>
      <c r="BM165" s="323"/>
      <c r="BN165" s="323"/>
      <c r="BO165" s="39"/>
      <c r="BP165" s="39"/>
      <c r="BQ165" s="39"/>
      <c r="BR165" s="323"/>
      <c r="BS165" s="323"/>
      <c r="BT165" s="39"/>
      <c r="BW165" s="39"/>
      <c r="BX165" s="38"/>
    </row>
    <row r="166" spans="1:76" s="201" customFormat="1" ht="16.5" customHeight="1" x14ac:dyDescent="0.25">
      <c r="A166" s="200"/>
      <c r="B166" s="376"/>
      <c r="C166" s="214" t="s">
        <v>9</v>
      </c>
      <c r="D166" s="214"/>
      <c r="E166" s="213"/>
      <c r="F166" s="213"/>
      <c r="G166" s="197"/>
      <c r="H166" s="196"/>
      <c r="I166" s="212"/>
      <c r="J166" s="377"/>
      <c r="K166" s="118" t="s">
        <v>55</v>
      </c>
      <c r="L166" s="244" t="s">
        <v>84</v>
      </c>
      <c r="M166" s="268" t="s">
        <v>13</v>
      </c>
      <c r="N166" s="210">
        <f>P166</f>
        <v>6831425.9999999991</v>
      </c>
      <c r="O166" s="210">
        <f>Q166</f>
        <v>7651197.1200000001</v>
      </c>
      <c r="P166" s="210">
        <f>Q166/1.12</f>
        <v>6831425.9999999991</v>
      </c>
      <c r="Q166" s="210">
        <v>7651197.1200000001</v>
      </c>
      <c r="R166" s="113" t="s">
        <v>32</v>
      </c>
      <c r="S166" s="104">
        <v>7</v>
      </c>
      <c r="T166" s="315"/>
      <c r="U166" s="315"/>
      <c r="V166" s="315"/>
      <c r="W166" s="315"/>
      <c r="X166" s="315"/>
      <c r="Y166" s="315"/>
      <c r="Z166" s="206"/>
      <c r="AA166" s="206"/>
      <c r="AB166" s="206"/>
      <c r="AC166" s="206"/>
      <c r="AD166" s="206"/>
      <c r="AE166" s="206"/>
      <c r="AF166" s="206"/>
      <c r="AG166" s="206"/>
      <c r="AH166" s="206"/>
      <c r="AI166" s="206"/>
      <c r="AJ166" s="206"/>
      <c r="AK166" s="206"/>
      <c r="AL166" s="206">
        <v>4361</v>
      </c>
      <c r="AM166" s="203">
        <f>AL166*1.12</f>
        <v>4884.3200000000006</v>
      </c>
      <c r="AN166" s="206">
        <v>7</v>
      </c>
      <c r="AO166" s="203">
        <f>AL166-($AI$148/$AK$148*$AN$166)</f>
        <v>-5136.979013641132</v>
      </c>
      <c r="AP166" s="203">
        <f>AM166-($AJ$148/$AK$148*$AN$166)</f>
        <v>-5753.4164952780693</v>
      </c>
      <c r="AQ166" s="203">
        <f>AN166-S166</f>
        <v>0</v>
      </c>
      <c r="AR166" s="205" t="str">
        <f>IF(AI166=0,"",AL166/AI166)</f>
        <v/>
      </c>
      <c r="AS166" s="204"/>
      <c r="AT166" s="204"/>
      <c r="AU166" s="204"/>
      <c r="AV166" s="203"/>
      <c r="AW166" s="203">
        <f>AV166*1.12</f>
        <v>0</v>
      </c>
      <c r="AX166" s="203"/>
      <c r="AY166" s="203"/>
      <c r="AZ166" s="203">
        <f>AO166</f>
        <v>-5136.979013641132</v>
      </c>
      <c r="BA166" s="203"/>
      <c r="BB166" s="203"/>
      <c r="BC166" s="203"/>
      <c r="BD166" s="203"/>
      <c r="BE166" s="203"/>
      <c r="BF166" s="203"/>
      <c r="BG166" s="203"/>
      <c r="BH166" s="203"/>
      <c r="BI166" s="203"/>
      <c r="BJ166" s="203"/>
      <c r="BK166" s="203"/>
      <c r="BL166" s="203"/>
      <c r="BM166" s="334"/>
      <c r="BN166" s="334"/>
      <c r="BO166" s="202"/>
      <c r="BP166" s="202"/>
      <c r="BQ166" s="202"/>
      <c r="BR166" s="334"/>
      <c r="BS166" s="334"/>
      <c r="BT166" s="202"/>
      <c r="BW166" s="202"/>
      <c r="BX166" s="314"/>
    </row>
    <row r="167" spans="1:76" s="57" customFormat="1" ht="16.5" customHeight="1" x14ac:dyDescent="0.25">
      <c r="A167" s="200"/>
      <c r="B167" s="376"/>
      <c r="C167" s="70" t="s">
        <v>6</v>
      </c>
      <c r="D167" s="70"/>
      <c r="E167" s="198"/>
      <c r="F167" s="198"/>
      <c r="G167" s="197"/>
      <c r="H167" s="196"/>
      <c r="I167" s="195"/>
      <c r="J167" s="375"/>
      <c r="K167" s="194"/>
      <c r="L167" s="244"/>
      <c r="M167" s="268"/>
      <c r="N167" s="50">
        <f>P167</f>
        <v>6831425.9999999991</v>
      </c>
      <c r="O167" s="50">
        <f>Q167</f>
        <v>7651197.1200000001</v>
      </c>
      <c r="P167" s="51">
        <f>Q167/1.12</f>
        <v>6831425.9999999991</v>
      </c>
      <c r="Q167" s="51">
        <f>Q166</f>
        <v>7651197.1200000001</v>
      </c>
      <c r="R167" s="113"/>
      <c r="S167" s="104"/>
      <c r="T167" s="47"/>
      <c r="U167" s="47"/>
      <c r="V167" s="47"/>
      <c r="W167" s="47"/>
      <c r="X167" s="47"/>
      <c r="Y167" s="47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117"/>
      <c r="AM167" s="64">
        <f>AL167*1.12</f>
        <v>0</v>
      </c>
      <c r="AN167" s="66"/>
      <c r="AO167" s="64">
        <f>AL167-($AI$149/$AK$148*$AN$166)</f>
        <v>-8431.5697796432305</v>
      </c>
      <c r="AP167" s="64">
        <f>AM167-($AJ$149/$AK$148*$AN$166)</f>
        <v>-9443.3581532004191</v>
      </c>
      <c r="AQ167" s="62"/>
      <c r="AR167" s="189" t="str">
        <f>IF(AI167=0,"",AL167/AI167)</f>
        <v/>
      </c>
      <c r="AS167" s="115"/>
      <c r="AT167" s="115">
        <f>AL167</f>
        <v>0</v>
      </c>
      <c r="AU167" s="63"/>
      <c r="AV167" s="64"/>
      <c r="AW167" s="64">
        <f>AV167*1.12</f>
        <v>0</v>
      </c>
      <c r="AX167" s="62"/>
      <c r="AY167" s="62"/>
      <c r="AZ167" s="62"/>
      <c r="BA167" s="62"/>
      <c r="BB167" s="62"/>
      <c r="BC167" s="62"/>
      <c r="BD167" s="62"/>
      <c r="BE167" s="62"/>
      <c r="BF167" s="62"/>
      <c r="BG167" s="62"/>
      <c r="BH167" s="62"/>
      <c r="BI167" s="62"/>
      <c r="BJ167" s="62"/>
      <c r="BK167" s="62"/>
      <c r="BL167" s="62"/>
      <c r="BM167" s="330"/>
      <c r="BN167" s="330"/>
      <c r="BO167" s="59"/>
      <c r="BP167" s="59"/>
      <c r="BQ167" s="59"/>
      <c r="BR167" s="330"/>
      <c r="BS167" s="330"/>
      <c r="BT167" s="59"/>
      <c r="BU167" s="57">
        <v>11851025.76</v>
      </c>
      <c r="BW167" s="59"/>
      <c r="BX167" s="58"/>
    </row>
    <row r="168" spans="1:76" ht="16.5" customHeight="1" x14ac:dyDescent="0.25">
      <c r="A168" s="200"/>
      <c r="B168" s="376"/>
      <c r="C168" s="53" t="s">
        <v>6</v>
      </c>
      <c r="D168" s="53"/>
      <c r="E168" s="186"/>
      <c r="F168" s="186"/>
      <c r="G168" s="197"/>
      <c r="H168" s="196"/>
      <c r="I168" s="183"/>
      <c r="J168" s="372"/>
      <c r="K168" s="105"/>
      <c r="L168" s="244"/>
      <c r="M168" s="268"/>
      <c r="N168" s="50">
        <f>P168</f>
        <v>6831425.9999999991</v>
      </c>
      <c r="O168" s="50">
        <f>Q168</f>
        <v>7651197.1200000001</v>
      </c>
      <c r="P168" s="50">
        <f>Q168/1.12</f>
        <v>6831425.9999999991</v>
      </c>
      <c r="Q168" s="50">
        <f>Q167</f>
        <v>7651197.1200000001</v>
      </c>
      <c r="R168" s="113"/>
      <c r="S168" s="104"/>
      <c r="T168" s="47"/>
      <c r="U168" s="47"/>
      <c r="V168" s="47"/>
      <c r="W168" s="47"/>
      <c r="X168" s="47"/>
      <c r="Y168" s="47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103">
        <f>AL167</f>
        <v>0</v>
      </c>
      <c r="AM168" s="44">
        <f>AL168*1.12</f>
        <v>0</v>
      </c>
      <c r="AN168" s="46"/>
      <c r="AO168" s="44">
        <f>AL168-($AI$150/$AK$148*$AN$166)</f>
        <v>-8431.5697796432305</v>
      </c>
      <c r="AP168" s="44">
        <f>AM168-($AJ$150/$AK$148*$AN$166)</f>
        <v>-9443.3581532004191</v>
      </c>
      <c r="AQ168" s="41"/>
      <c r="AR168" s="178" t="str">
        <f>IF(AI168=0,"",AL168/AI168)</f>
        <v/>
      </c>
      <c r="AS168" s="101"/>
      <c r="AT168" s="101">
        <f>AL168</f>
        <v>0</v>
      </c>
      <c r="AU168" s="42"/>
      <c r="AV168" s="44">
        <f>AV167</f>
        <v>0</v>
      </c>
      <c r="AW168" s="44">
        <f>AV168*1.12</f>
        <v>0</v>
      </c>
      <c r="AX168" s="41"/>
      <c r="AY168" s="41"/>
      <c r="AZ168" s="41"/>
      <c r="BA168" s="41"/>
      <c r="BB168" s="41"/>
      <c r="BC168" s="41"/>
      <c r="BD168" s="41"/>
      <c r="BE168" s="41"/>
      <c r="BF168" s="41"/>
      <c r="BG168" s="41"/>
      <c r="BH168" s="41"/>
      <c r="BI168" s="41"/>
      <c r="BJ168" s="41"/>
      <c r="BK168" s="41"/>
      <c r="BL168" s="41"/>
      <c r="BM168" s="323"/>
      <c r="BN168" s="323"/>
      <c r="BO168" s="39"/>
      <c r="BP168" s="39"/>
      <c r="BQ168" s="39"/>
      <c r="BR168" s="323"/>
      <c r="BS168" s="323"/>
      <c r="BT168" s="39"/>
      <c r="BW168" s="39"/>
      <c r="BX168" s="38"/>
    </row>
    <row r="169" spans="1:76" s="201" customFormat="1" ht="16.5" hidden="1" customHeight="1" outlineLevel="1" x14ac:dyDescent="0.25">
      <c r="A169" s="200"/>
      <c r="B169" s="376"/>
      <c r="C169" s="214" t="s">
        <v>9</v>
      </c>
      <c r="D169" s="214"/>
      <c r="E169" s="213"/>
      <c r="F169" s="213"/>
      <c r="G169" s="197"/>
      <c r="H169" s="196"/>
      <c r="I169" s="212"/>
      <c r="J169" s="377"/>
      <c r="K169" s="371"/>
      <c r="L169" s="182"/>
      <c r="M169" s="268" t="s">
        <v>13</v>
      </c>
      <c r="N169" s="210">
        <f>P169</f>
        <v>0</v>
      </c>
      <c r="O169" s="210">
        <f>Q169</f>
        <v>0</v>
      </c>
      <c r="P169" s="210">
        <f>Q169/1.12</f>
        <v>0</v>
      </c>
      <c r="Q169" s="210"/>
      <c r="R169" s="113"/>
      <c r="S169" s="104"/>
      <c r="T169" s="315"/>
      <c r="U169" s="315"/>
      <c r="V169" s="315"/>
      <c r="W169" s="315"/>
      <c r="X169" s="315"/>
      <c r="Y169" s="315"/>
      <c r="Z169" s="206"/>
      <c r="AA169" s="206"/>
      <c r="AB169" s="206"/>
      <c r="AC169" s="206"/>
      <c r="AD169" s="206"/>
      <c r="AE169" s="206"/>
      <c r="AF169" s="206"/>
      <c r="AG169" s="206"/>
      <c r="AH169" s="206"/>
      <c r="AI169" s="206"/>
      <c r="AJ169" s="206"/>
      <c r="AK169" s="206"/>
      <c r="AL169" s="212"/>
      <c r="AM169" s="203">
        <f>AL169*1.12</f>
        <v>0</v>
      </c>
      <c r="AN169" s="206"/>
      <c r="AO169" s="203">
        <f>AL169-($AI$148/$AK$148*$AN$169)</f>
        <v>0</v>
      </c>
      <c r="AP169" s="203">
        <f>AM169-($AJ$148/$AK$148*$AN$169)</f>
        <v>0</v>
      </c>
      <c r="AQ169" s="203">
        <f>AN169-S169</f>
        <v>0</v>
      </c>
      <c r="AR169" s="205" t="str">
        <f>IF(AI169=0,"",AL169/AI169)</f>
        <v/>
      </c>
      <c r="AS169" s="204"/>
      <c r="AT169" s="204"/>
      <c r="AU169" s="204"/>
      <c r="AV169" s="203"/>
      <c r="AW169" s="203">
        <f>AV169*1.12</f>
        <v>0</v>
      </c>
      <c r="AX169" s="203"/>
      <c r="AY169" s="203"/>
      <c r="AZ169" s="203"/>
      <c r="BA169" s="203"/>
      <c r="BB169" s="203"/>
      <c r="BC169" s="203"/>
      <c r="BD169" s="203"/>
      <c r="BE169" s="203"/>
      <c r="BF169" s="203"/>
      <c r="BG169" s="203"/>
      <c r="BH169" s="203"/>
      <c r="BI169" s="203"/>
      <c r="BJ169" s="203"/>
      <c r="BK169" s="203"/>
      <c r="BL169" s="203"/>
      <c r="BM169" s="334"/>
      <c r="BN169" s="334"/>
      <c r="BO169" s="202"/>
      <c r="BP169" s="202"/>
      <c r="BQ169" s="202"/>
      <c r="BR169" s="334"/>
      <c r="BS169" s="334"/>
      <c r="BT169" s="202"/>
      <c r="BW169" s="202"/>
      <c r="BX169" s="314"/>
    </row>
    <row r="170" spans="1:76" s="57" customFormat="1" ht="16.5" hidden="1" customHeight="1" outlineLevel="1" x14ac:dyDescent="0.25">
      <c r="A170" s="200"/>
      <c r="B170" s="376"/>
      <c r="C170" s="70" t="s">
        <v>6</v>
      </c>
      <c r="D170" s="70"/>
      <c r="E170" s="198"/>
      <c r="F170" s="198"/>
      <c r="G170" s="197"/>
      <c r="H170" s="196"/>
      <c r="I170" s="195"/>
      <c r="J170" s="375"/>
      <c r="K170" s="371"/>
      <c r="L170" s="182"/>
      <c r="M170" s="268"/>
      <c r="N170" s="50">
        <f>P170</f>
        <v>0</v>
      </c>
      <c r="O170" s="50">
        <f>Q170</f>
        <v>0</v>
      </c>
      <c r="P170" s="51">
        <f>Q170/1.12</f>
        <v>0</v>
      </c>
      <c r="Q170" s="51">
        <f>Q169</f>
        <v>0</v>
      </c>
      <c r="R170" s="113"/>
      <c r="S170" s="104"/>
      <c r="T170" s="47"/>
      <c r="U170" s="47"/>
      <c r="V170" s="47"/>
      <c r="W170" s="47"/>
      <c r="X170" s="47"/>
      <c r="Y170" s="47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117"/>
      <c r="AM170" s="64">
        <f>AL170*1.12</f>
        <v>0</v>
      </c>
      <c r="AN170" s="66"/>
      <c r="AO170" s="64">
        <f>AL170-($AI$149/$AK$148*$AN$169)</f>
        <v>0</v>
      </c>
      <c r="AP170" s="64">
        <f>AM170-($AJ$149/$AK$148*$AN$169)</f>
        <v>0</v>
      </c>
      <c r="AQ170" s="62"/>
      <c r="AR170" s="189" t="str">
        <f>IF(AI170=0,"",AL170/AI170)</f>
        <v/>
      </c>
      <c r="AS170" s="115"/>
      <c r="AT170" s="115">
        <f>AL170</f>
        <v>0</v>
      </c>
      <c r="AU170" s="63"/>
      <c r="AV170" s="64"/>
      <c r="AW170" s="64">
        <f>AV170*1.12</f>
        <v>0</v>
      </c>
      <c r="AX170" s="62"/>
      <c r="AY170" s="62"/>
      <c r="AZ170" s="62"/>
      <c r="BA170" s="62"/>
      <c r="BB170" s="62"/>
      <c r="BC170" s="62"/>
      <c r="BD170" s="62"/>
      <c r="BE170" s="62"/>
      <c r="BF170" s="62"/>
      <c r="BG170" s="62"/>
      <c r="BH170" s="62"/>
      <c r="BI170" s="62"/>
      <c r="BJ170" s="62"/>
      <c r="BK170" s="62"/>
      <c r="BL170" s="62"/>
      <c r="BM170" s="330"/>
      <c r="BN170" s="330"/>
      <c r="BO170" s="59"/>
      <c r="BP170" s="59"/>
      <c r="BQ170" s="59"/>
      <c r="BR170" s="330"/>
      <c r="BS170" s="330"/>
      <c r="BT170" s="59"/>
      <c r="BU170" s="57">
        <v>17925712.559999999</v>
      </c>
      <c r="BW170" s="59"/>
      <c r="BX170" s="58"/>
    </row>
    <row r="171" spans="1:76" ht="16.5" hidden="1" customHeight="1" outlineLevel="1" x14ac:dyDescent="0.25">
      <c r="A171" s="55"/>
      <c r="B171" s="374"/>
      <c r="C171" s="53" t="s">
        <v>6</v>
      </c>
      <c r="D171" s="53"/>
      <c r="E171" s="186"/>
      <c r="F171" s="373"/>
      <c r="G171" s="197"/>
      <c r="H171" s="196"/>
      <c r="I171" s="183"/>
      <c r="J171" s="372"/>
      <c r="K171" s="371"/>
      <c r="L171" s="182"/>
      <c r="M171" s="268"/>
      <c r="N171" s="50">
        <f>P171</f>
        <v>0</v>
      </c>
      <c r="O171" s="50">
        <f>Q171</f>
        <v>0</v>
      </c>
      <c r="P171" s="50">
        <f>Q171/1.12</f>
        <v>0</v>
      </c>
      <c r="Q171" s="50">
        <f>Q170</f>
        <v>0</v>
      </c>
      <c r="R171" s="113"/>
      <c r="S171" s="104"/>
      <c r="T171" s="47"/>
      <c r="U171" s="47"/>
      <c r="V171" s="47"/>
      <c r="W171" s="47"/>
      <c r="X171" s="47"/>
      <c r="Y171" s="47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103">
        <f>AL170</f>
        <v>0</v>
      </c>
      <c r="AM171" s="44">
        <f>AL171*1.12</f>
        <v>0</v>
      </c>
      <c r="AN171" s="46"/>
      <c r="AO171" s="44">
        <f>AL171-($AI$150/$AK$148*$AN$169)</f>
        <v>0</v>
      </c>
      <c r="AP171" s="44">
        <f>AM171-($AJ$150/$AK$148*$AN$169)</f>
        <v>0</v>
      </c>
      <c r="AQ171" s="41"/>
      <c r="AR171" s="178" t="str">
        <f>IF(AI171=0,"",AL171/AI171)</f>
        <v/>
      </c>
      <c r="AS171" s="101"/>
      <c r="AT171" s="101">
        <f>AL171</f>
        <v>0</v>
      </c>
      <c r="AU171" s="42"/>
      <c r="AV171" s="44">
        <f>AV170</f>
        <v>0</v>
      </c>
      <c r="AW171" s="44">
        <f>AV171*1.12</f>
        <v>0</v>
      </c>
      <c r="AX171" s="41"/>
      <c r="AY171" s="41"/>
      <c r="AZ171" s="41"/>
      <c r="BA171" s="41"/>
      <c r="BB171" s="41"/>
      <c r="BC171" s="41"/>
      <c r="BD171" s="41"/>
      <c r="BE171" s="41"/>
      <c r="BF171" s="41"/>
      <c r="BG171" s="41"/>
      <c r="BH171" s="41"/>
      <c r="BI171" s="41"/>
      <c r="BJ171" s="41"/>
      <c r="BK171" s="41"/>
      <c r="BL171" s="41"/>
      <c r="BM171" s="323"/>
      <c r="BN171" s="323"/>
      <c r="BO171" s="39"/>
      <c r="BP171" s="39"/>
      <c r="BQ171" s="39"/>
      <c r="BR171" s="323"/>
      <c r="BS171" s="323"/>
      <c r="BT171" s="39"/>
      <c r="BW171" s="39"/>
      <c r="BX171" s="38"/>
    </row>
    <row r="172" spans="1:76" s="288" customFormat="1" ht="12.75" customHeight="1" collapsed="1" x14ac:dyDescent="0.25">
      <c r="A172" s="72">
        <v>3</v>
      </c>
      <c r="B172" s="217" t="s">
        <v>100</v>
      </c>
      <c r="C172" s="304"/>
      <c r="D172" s="304"/>
      <c r="E172" s="355">
        <f>E174+E177+E180+E189+E183+E186</f>
        <v>175775</v>
      </c>
      <c r="F172" s="355">
        <f>F174+F177+F180+F189+F183+F186</f>
        <v>196868.00000000003</v>
      </c>
      <c r="G172" s="357"/>
      <c r="H172" s="356">
        <f>H174</f>
        <v>118</v>
      </c>
      <c r="I172" s="355">
        <f>I174+I177+I180+I189+I183+I186</f>
        <v>175775</v>
      </c>
      <c r="J172" s="355">
        <f>J174+J177+J180+J189+J183+J186</f>
        <v>196868.00000000003</v>
      </c>
      <c r="K172" s="370" t="s">
        <v>99</v>
      </c>
      <c r="L172" s="369"/>
      <c r="M172" s="368" t="s">
        <v>13</v>
      </c>
      <c r="N172" s="352">
        <f>N174+N177+N180+N189+N183+N186</f>
        <v>129424488.41071427</v>
      </c>
      <c r="O172" s="352">
        <f>O174+O177+O180+O189+O183+O186</f>
        <v>144955427.02000001</v>
      </c>
      <c r="P172" s="352">
        <f>P174+P177+P180+P189+P183+P186</f>
        <v>129424488.41071427</v>
      </c>
      <c r="Q172" s="352">
        <f>Q174+Q177+Q180+Q189+Q183+Q186</f>
        <v>144955427.02000001</v>
      </c>
      <c r="R172" s="305"/>
      <c r="S172" s="297">
        <f>S174+S177+S180+S189+S183+S186</f>
        <v>118</v>
      </c>
      <c r="T172" s="350">
        <f>T174+T177+T180+T189+T183+T186</f>
        <v>0</v>
      </c>
      <c r="U172" s="350">
        <f>U174+U177+U180+U189+U183+U186</f>
        <v>0</v>
      </c>
      <c r="V172" s="350">
        <f>V174+V177+V180+V189+V183+V186</f>
        <v>0</v>
      </c>
      <c r="W172" s="350">
        <f>W174+W177+W180+W189+W183+W186</f>
        <v>0</v>
      </c>
      <c r="X172" s="350">
        <f>X174+X177+X180+X189+X183+X186</f>
        <v>0</v>
      </c>
      <c r="Y172" s="350">
        <f>Y174+Y177+Y180+Y189+Y183+Y186</f>
        <v>0</v>
      </c>
      <c r="Z172" s="350">
        <f>Z174+Z177+Z180+Z189+Z183+Z186</f>
        <v>0</v>
      </c>
      <c r="AA172" s="350">
        <f>AA174+AA177+AA180+AA189+AA183+AA186</f>
        <v>0</v>
      </c>
      <c r="AB172" s="350">
        <f>AB174+AB177+AB180+AB189+AB183+AB186</f>
        <v>0</v>
      </c>
      <c r="AC172" s="350">
        <f>AC174+AC177+AC180+AC189+AC183+AC186</f>
        <v>0</v>
      </c>
      <c r="AD172" s="350">
        <f>AD174+AD177+AD180+AD189+AD183+AD186</f>
        <v>0</v>
      </c>
      <c r="AE172" s="350">
        <f>AE174+AE177+AE180+AE189+AE183+AE186</f>
        <v>0</v>
      </c>
      <c r="AF172" s="350">
        <f>AF174+AF177+AF180+AF189+AF183+AF186</f>
        <v>0</v>
      </c>
      <c r="AG172" s="350">
        <f>AG174+AG177+AG180+AG189+AG183+AG186</f>
        <v>0</v>
      </c>
      <c r="AH172" s="350">
        <f>AH174+AH177+AH180+AH189+AH183+AH186</f>
        <v>0</v>
      </c>
      <c r="AI172" s="350">
        <f>AI174+AI177+AI180+AI189+AI183+AI186</f>
        <v>175775</v>
      </c>
      <c r="AJ172" s="350">
        <f>AJ174+AJ177+AJ180+AJ189+AJ183+AJ186</f>
        <v>196868.00000000003</v>
      </c>
      <c r="AK172" s="350">
        <f>AK174+AK177+AK180+AK189+AK183+AK186</f>
        <v>118</v>
      </c>
      <c r="AL172" s="350">
        <f>AL174+AL177+AL180+AL189+AL183+AL186</f>
        <v>92481</v>
      </c>
      <c r="AM172" s="350">
        <f>AM174+AM177+AM180+AM189+AM183+AM186</f>
        <v>103578.72000000002</v>
      </c>
      <c r="AN172" s="350">
        <f>AN174+AN177+AN180+AN189+AN183+AN186</f>
        <v>118</v>
      </c>
      <c r="AO172" s="348">
        <f>AL172-AI172</f>
        <v>-83294</v>
      </c>
      <c r="AP172" s="348">
        <f>AM172-AJ172</f>
        <v>-93289.280000000013</v>
      </c>
      <c r="AQ172" s="348">
        <f>AQ174+AQ177+AQ180+AQ189+AQ183+AQ186</f>
        <v>0</v>
      </c>
      <c r="AR172" s="293">
        <f>IF(AI172=0,"",AL172/AI172)</f>
        <v>0.5261328402787655</v>
      </c>
      <c r="AS172" s="349">
        <f>AS174+AS177+AS180+AS189+AS183+AS186</f>
        <v>0</v>
      </c>
      <c r="AT172" s="349">
        <f>AT174+AT177+AT180+AT189+AT183+AT186</f>
        <v>0</v>
      </c>
      <c r="AU172" s="349">
        <f>AU174+AU177+AU180+AU189+AU183+AU186</f>
        <v>0</v>
      </c>
      <c r="AV172" s="349">
        <f>AV174+AV177+AV180+AV189+AV183+AV186</f>
        <v>121520</v>
      </c>
      <c r="AW172" s="349">
        <f>AW174+AW177+AW180+AW189+AW183+AW186</f>
        <v>136102.40000000002</v>
      </c>
      <c r="AX172" s="349">
        <f>AX174+AX177+AX180+AX189+AX183+AX186</f>
        <v>69</v>
      </c>
      <c r="AY172" s="348">
        <f>AY174+AY177+AY180+AY189+AY183+AY186</f>
        <v>0</v>
      </c>
      <c r="AZ172" s="348">
        <f>AZ174+AZ177+AZ180+AZ189+AZ183+AZ186</f>
        <v>-83294</v>
      </c>
      <c r="BA172" s="348">
        <f>BA174+BA177+BA180+BA189+BA183+BA186</f>
        <v>0</v>
      </c>
      <c r="BB172" s="348">
        <f>BB174+BB177+BB180+BB189+BB183+BB186</f>
        <v>0</v>
      </c>
      <c r="BC172" s="348">
        <f>BC174+BC177+BC180+BC189+BC183+BC186</f>
        <v>0</v>
      </c>
      <c r="BD172" s="348">
        <f>BD174+BD177+BD180+BD189+BD183+BD186</f>
        <v>0</v>
      </c>
      <c r="BE172" s="348">
        <f>BE174+BE177+BE180+BE189+BE183+BE186</f>
        <v>0</v>
      </c>
      <c r="BF172" s="348">
        <f>BF174+BF177+BF180+BF189+BF183+BF186</f>
        <v>0</v>
      </c>
      <c r="BG172" s="348">
        <f>BG174+BG177+BG180+BG189+BG183+BG186</f>
        <v>0</v>
      </c>
      <c r="BH172" s="348">
        <f>BH174+BH177+BH180+BH189+BH183+BH186</f>
        <v>0</v>
      </c>
      <c r="BI172" s="348">
        <f>BI174+BI177+BI180+BI189+BI183+BI186</f>
        <v>0</v>
      </c>
      <c r="BJ172" s="348">
        <f>BJ174+BJ177+BJ180+BJ189+BJ183+BJ186</f>
        <v>0</v>
      </c>
      <c r="BK172" s="348">
        <f>BK174+BK177+BK180+BK189+BK183+BK186</f>
        <v>0</v>
      </c>
      <c r="BL172" s="348">
        <f>BL174+BL177+BL180+BL189+BL183+BL186</f>
        <v>0</v>
      </c>
      <c r="BM172" s="358" t="s">
        <v>82</v>
      </c>
      <c r="BN172" s="347"/>
      <c r="BO172" s="348">
        <f>BO174+BO177+BO180+BO189</f>
        <v>0</v>
      </c>
      <c r="BP172" s="348">
        <f>BP174+BP177+BP180+BP189</f>
        <v>0</v>
      </c>
      <c r="BQ172" s="348">
        <f>BQ174+BQ177+BQ180+BQ189</f>
        <v>0</v>
      </c>
      <c r="BR172" s="347"/>
      <c r="BS172" s="347"/>
      <c r="BT172" s="290"/>
      <c r="BW172" s="290"/>
      <c r="BX172" s="289"/>
    </row>
    <row r="173" spans="1:76" s="288" customFormat="1" ht="12.75" customHeight="1" x14ac:dyDescent="0.25">
      <c r="A173" s="200"/>
      <c r="B173" s="216"/>
      <c r="C173" s="304"/>
      <c r="D173" s="304"/>
      <c r="E173" s="355">
        <f>E175+E178+E181+E190+E184+E187</f>
        <v>175775</v>
      </c>
      <c r="F173" s="355">
        <f>F175+F178+F181+F190+F184+F187</f>
        <v>196868.00000000003</v>
      </c>
      <c r="G173" s="357"/>
      <c r="H173" s="356"/>
      <c r="I173" s="355">
        <f>I175+I178+I181+I190+I184+I187</f>
        <v>175775</v>
      </c>
      <c r="J173" s="355">
        <f>J175+J178+J181+J190+J184+J187</f>
        <v>196868.00000000003</v>
      </c>
      <c r="K173" s="367"/>
      <c r="L173" s="366"/>
      <c r="M173" s="365"/>
      <c r="N173" s="352">
        <f>N175+N178+N181+N190+N184+N187</f>
        <v>129424488.41071427</v>
      </c>
      <c r="O173" s="352">
        <f>O175+O178+O181+O190+O184+O187</f>
        <v>144955427.02000001</v>
      </c>
      <c r="P173" s="352">
        <f>P175+P178+P181+P190+P184+P187</f>
        <v>129424488.41071427</v>
      </c>
      <c r="Q173" s="352">
        <f>Q175+Q178+Q181+Q190+Q184+Q187</f>
        <v>144955427.02000001</v>
      </c>
      <c r="R173" s="305"/>
      <c r="S173" s="297"/>
      <c r="T173" s="350">
        <f>T175+T178+T181+T190+T184+T187</f>
        <v>0</v>
      </c>
      <c r="U173" s="350">
        <f>U175+U178+U181+U190+U184+U187</f>
        <v>0</v>
      </c>
      <c r="V173" s="350"/>
      <c r="W173" s="350">
        <f>W175+W178+W181+W190+W184+W187</f>
        <v>0</v>
      </c>
      <c r="X173" s="350">
        <f>X175+X178+X181+X190+X184+X187</f>
        <v>0</v>
      </c>
      <c r="Y173" s="350"/>
      <c r="Z173" s="350">
        <f>Z175+Z178+Z181+Z190+Z184+Z187</f>
        <v>0</v>
      </c>
      <c r="AA173" s="350">
        <f>AA175+AA178+AA181+AA190+AA184+AA187</f>
        <v>0</v>
      </c>
      <c r="AB173" s="350"/>
      <c r="AC173" s="350">
        <f>AC175+AC178+AC181+AC190+AC184+AC187</f>
        <v>0</v>
      </c>
      <c r="AD173" s="350">
        <f>AD175+AD178+AD181+AD190+AD184+AD187</f>
        <v>0</v>
      </c>
      <c r="AE173" s="350"/>
      <c r="AF173" s="350">
        <f>AF175+AF178+AF181+AF190+AF184+AF187</f>
        <v>0</v>
      </c>
      <c r="AG173" s="350">
        <f>AG175+AG178+AG181+AG190+AG184+AG187</f>
        <v>0</v>
      </c>
      <c r="AH173" s="350"/>
      <c r="AI173" s="350">
        <f>AI175+AI178+AI181+AI190+AI184+AI187</f>
        <v>175775</v>
      </c>
      <c r="AJ173" s="350">
        <f>AJ175+AJ178+AJ181+AJ190+AJ184+AJ187</f>
        <v>196868.00000000003</v>
      </c>
      <c r="AK173" s="350"/>
      <c r="AL173" s="350">
        <f>AL175+AL178+AL181+AL190+AL184+AL187</f>
        <v>77770.658794642848</v>
      </c>
      <c r="AM173" s="350">
        <f>AM175+AM178+AM181+AM190+AM184+AM187</f>
        <v>87103.137849999999</v>
      </c>
      <c r="AN173" s="350"/>
      <c r="AO173" s="348">
        <f>AL173-AI173</f>
        <v>-98004.341205357152</v>
      </c>
      <c r="AP173" s="348">
        <f>AM173-AJ173</f>
        <v>-109764.86215000003</v>
      </c>
      <c r="AQ173" s="348">
        <f>AQ175+AQ178+AQ181+AQ190+AQ184+AQ187</f>
        <v>0</v>
      </c>
      <c r="AR173" s="293">
        <f>IF(AI173=0,"",AL173/AI173)</f>
        <v>0.44244436805372123</v>
      </c>
      <c r="AS173" s="349">
        <f>AS175+AS178+AS181+AS190+AS184+AS187</f>
        <v>0</v>
      </c>
      <c r="AT173" s="349">
        <f>AT175+AT178+AT181+AT190+AT184+AT187</f>
        <v>77770.658794642848</v>
      </c>
      <c r="AU173" s="349">
        <f>AU175+AU178+AU181+AU190+AU184+AU187</f>
        <v>0</v>
      </c>
      <c r="AV173" s="349">
        <f>AV175+AV178+AV181+AV190+AV184+AV187</f>
        <v>54255</v>
      </c>
      <c r="AW173" s="349">
        <f>AW175+AW178+AW181+AW190+AW184+AW187</f>
        <v>60765.60000000002</v>
      </c>
      <c r="AX173" s="349">
        <f>AX175+AX178+AX181+AX190+AX184+AX187</f>
        <v>0</v>
      </c>
      <c r="AY173" s="348">
        <f>AY175+AY178+AY181+AY190+AY184+AY187</f>
        <v>0</v>
      </c>
      <c r="AZ173" s="348">
        <f>AZ175+AZ178+AZ181+AZ190+AZ184+AZ187</f>
        <v>0</v>
      </c>
      <c r="BA173" s="348">
        <f>BA175+BA178+BA181+BA190+BA184+BA187</f>
        <v>0</v>
      </c>
      <c r="BB173" s="348">
        <f>BB175+BB178+BB181+BB190+BB184+BB187</f>
        <v>0</v>
      </c>
      <c r="BC173" s="348">
        <f>BC175+BC178+BC181+BC190+BC184+BC187</f>
        <v>0</v>
      </c>
      <c r="BD173" s="348">
        <f>BD175+BD178+BD181+BD190+BD184+BD187</f>
        <v>0</v>
      </c>
      <c r="BE173" s="348">
        <f>BE175+BE178+BE181+BE190+BE184+BE187</f>
        <v>0</v>
      </c>
      <c r="BF173" s="348">
        <f>BF175+BF178+BF181+BF190+BF184+BF187</f>
        <v>0</v>
      </c>
      <c r="BG173" s="348">
        <f>BG175+BG178+BG181+BG190+BG184+BG187</f>
        <v>0</v>
      </c>
      <c r="BH173" s="348">
        <f>BH175+BH178+BH181+BH190+BH184+BH187</f>
        <v>0</v>
      </c>
      <c r="BI173" s="348">
        <f>BI175+BI178+BI181+BI190+BI184+BI187</f>
        <v>0</v>
      </c>
      <c r="BJ173" s="348">
        <f>BJ175+BJ178+BJ181+BJ190+BJ184+BJ187</f>
        <v>0</v>
      </c>
      <c r="BK173" s="348">
        <f>BK175+BK178+BK181+BK190+BK184+BK187</f>
        <v>0</v>
      </c>
      <c r="BL173" s="348">
        <f>BL175+BL178+BL181+BL190+BL184+BL187</f>
        <v>0</v>
      </c>
      <c r="BM173" s="347"/>
      <c r="BN173" s="347"/>
      <c r="BO173" s="348">
        <f>BO175+BO178+BO181+BO190</f>
        <v>0</v>
      </c>
      <c r="BP173" s="348">
        <f>BP175+BP178+BP181+BP190</f>
        <v>0</v>
      </c>
      <c r="BQ173" s="348">
        <f>BQ175+BQ178+BQ181+BQ190</f>
        <v>0</v>
      </c>
      <c r="BR173" s="347"/>
      <c r="BS173" s="347"/>
      <c r="BT173" s="290"/>
      <c r="BW173" s="290"/>
      <c r="BX173" s="289"/>
    </row>
    <row r="174" spans="1:76" s="57" customFormat="1" ht="14.25" customHeight="1" x14ac:dyDescent="0.25">
      <c r="A174" s="200"/>
      <c r="B174" s="216"/>
      <c r="C174" s="214" t="s">
        <v>9</v>
      </c>
      <c r="D174" s="214" t="s">
        <v>8</v>
      </c>
      <c r="E174" s="213">
        <v>175775</v>
      </c>
      <c r="F174" s="213">
        <f>E174*1.12</f>
        <v>196868.00000000003</v>
      </c>
      <c r="G174" s="243">
        <v>1818</v>
      </c>
      <c r="H174" s="242">
        <v>118</v>
      </c>
      <c r="I174" s="212">
        <v>175775</v>
      </c>
      <c r="J174" s="212">
        <f>I174*1.12</f>
        <v>196868.00000000003</v>
      </c>
      <c r="K174" s="346" t="s">
        <v>55</v>
      </c>
      <c r="L174" s="237" t="s">
        <v>92</v>
      </c>
      <c r="M174" s="211" t="s">
        <v>13</v>
      </c>
      <c r="N174" s="210">
        <f>P174</f>
        <v>17716120.955357142</v>
      </c>
      <c r="O174" s="210">
        <f>Q174</f>
        <v>19842055.469999999</v>
      </c>
      <c r="P174" s="210">
        <f>Q174/1.12</f>
        <v>17716120.955357142</v>
      </c>
      <c r="Q174" s="210">
        <v>19842055.469999999</v>
      </c>
      <c r="R174" s="73" t="s">
        <v>91</v>
      </c>
      <c r="S174" s="104">
        <v>16</v>
      </c>
      <c r="T174" s="315"/>
      <c r="U174" s="315"/>
      <c r="V174" s="315"/>
      <c r="W174" s="315"/>
      <c r="X174" s="315"/>
      <c r="Y174" s="315"/>
      <c r="Z174" s="206"/>
      <c r="AA174" s="206"/>
      <c r="AB174" s="206"/>
      <c r="AC174" s="206"/>
      <c r="AD174" s="206"/>
      <c r="AE174" s="206"/>
      <c r="AF174" s="206"/>
      <c r="AG174" s="206"/>
      <c r="AH174" s="206"/>
      <c r="AI174" s="206">
        <f>99804+37240+38731</f>
        <v>175775</v>
      </c>
      <c r="AJ174" s="206">
        <f>AI174*1.12</f>
        <v>196868.00000000003</v>
      </c>
      <c r="AK174" s="206">
        <f>67+25+26</f>
        <v>118</v>
      </c>
      <c r="AL174" s="206">
        <f>4140+12328</f>
        <v>16468</v>
      </c>
      <c r="AM174" s="203">
        <f>AL174*1.12</f>
        <v>18444.160000000003</v>
      </c>
      <c r="AN174" s="206">
        <f>3+1+12</f>
        <v>16</v>
      </c>
      <c r="AO174" s="203">
        <f>AL174-(AI174/$AK$174*$AN174)+$AI$174/$AK$174*AQ174</f>
        <v>-7365.8983050847455</v>
      </c>
      <c r="AP174" s="203">
        <f>AO174*1.12</f>
        <v>-8249.8061016949159</v>
      </c>
      <c r="AQ174" s="203">
        <f>AN174-S174</f>
        <v>0</v>
      </c>
      <c r="AR174" s="205"/>
      <c r="AS174" s="204"/>
      <c r="AT174" s="204"/>
      <c r="AU174" s="204"/>
      <c r="AV174" s="203">
        <f>ROUND(P174/1000,0)</f>
        <v>17716</v>
      </c>
      <c r="AW174" s="203">
        <f>AV174*1.12</f>
        <v>19841.920000000002</v>
      </c>
      <c r="AX174" s="203">
        <f>S174</f>
        <v>16</v>
      </c>
      <c r="AY174" s="203"/>
      <c r="AZ174" s="203">
        <f>AL174-$AI$174/$AK$174*AN174</f>
        <v>-7365.8983050847455</v>
      </c>
      <c r="BA174" s="203"/>
      <c r="BB174" s="203"/>
      <c r="BC174" s="203"/>
      <c r="BD174" s="203"/>
      <c r="BE174" s="203"/>
      <c r="BF174" s="203"/>
      <c r="BG174" s="203"/>
      <c r="BH174" s="203"/>
      <c r="BI174" s="203"/>
      <c r="BJ174" s="203"/>
      <c r="BK174" s="203"/>
      <c r="BL174" s="203">
        <f>$AI$174/$AK$174*AQ174</f>
        <v>0</v>
      </c>
      <c r="BM174" s="202"/>
      <c r="BN174" s="202"/>
      <c r="BO174" s="202"/>
      <c r="BP174" s="202"/>
      <c r="BQ174" s="202"/>
      <c r="BR174" s="334"/>
      <c r="BS174" s="334"/>
      <c r="BT174" s="202"/>
      <c r="BU174" s="201"/>
      <c r="BV174" s="201"/>
      <c r="BW174" s="202"/>
      <c r="BX174" s="58"/>
    </row>
    <row r="175" spans="1:76" s="57" customFormat="1" ht="14.25" customHeight="1" x14ac:dyDescent="0.25">
      <c r="A175" s="200"/>
      <c r="B175" s="216"/>
      <c r="C175" s="70" t="s">
        <v>6</v>
      </c>
      <c r="D175" s="70" t="s">
        <v>26</v>
      </c>
      <c r="E175" s="198">
        <f>E176</f>
        <v>175775</v>
      </c>
      <c r="F175" s="198">
        <f>E175*1.12</f>
        <v>196868.00000000003</v>
      </c>
      <c r="G175" s="197"/>
      <c r="H175" s="196"/>
      <c r="I175" s="195">
        <f>I176</f>
        <v>175775</v>
      </c>
      <c r="J175" s="195">
        <f>I175*1.12</f>
        <v>196868.00000000003</v>
      </c>
      <c r="K175" s="345"/>
      <c r="L175" s="235"/>
      <c r="M175" s="193"/>
      <c r="N175" s="50">
        <f>P175</f>
        <v>17716120.955357142</v>
      </c>
      <c r="O175" s="50">
        <f>Q175</f>
        <v>19842055.469999999</v>
      </c>
      <c r="P175" s="51">
        <f>Q175/1.12</f>
        <v>17716120.955357142</v>
      </c>
      <c r="Q175" s="51">
        <f>Q174</f>
        <v>19842055.469999999</v>
      </c>
      <c r="R175" s="191"/>
      <c r="S175" s="104"/>
      <c r="T175" s="47"/>
      <c r="U175" s="47"/>
      <c r="V175" s="47"/>
      <c r="W175" s="47"/>
      <c r="X175" s="47"/>
      <c r="Y175" s="47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>
        <f>AI176</f>
        <v>175775</v>
      </c>
      <c r="AJ175" s="66">
        <f>AI175*1.12</f>
        <v>196868.00000000003</v>
      </c>
      <c r="AK175" s="66"/>
      <c r="AL175" s="117">
        <f>AL176</f>
        <v>15435.500124999997</v>
      </c>
      <c r="AM175" s="64">
        <f>AL175*1.12</f>
        <v>17287.760139999999</v>
      </c>
      <c r="AN175" s="66"/>
      <c r="AO175" s="64">
        <f>AL175-($AI$175/$AK$174*AN174)+$AI$175/$AK$174*AQ174</f>
        <v>-8398.3981800847487</v>
      </c>
      <c r="AP175" s="64">
        <f>AM175-(AJ175/$AK$174*$AN174)+$AJ$175/$AK$174*AQ174</f>
        <v>-9406.2059616949191</v>
      </c>
      <c r="AQ175" s="62"/>
      <c r="AR175" s="189"/>
      <c r="AS175" s="115"/>
      <c r="AT175" s="115">
        <f>AL175</f>
        <v>15435.500124999997</v>
      </c>
      <c r="AU175" s="63"/>
      <c r="AV175" s="64">
        <f>ROUND(P175/1000,0)</f>
        <v>17716</v>
      </c>
      <c r="AW175" s="62">
        <f>AV175*1.12</f>
        <v>19841.920000000002</v>
      </c>
      <c r="AX175" s="62"/>
      <c r="AY175" s="62"/>
      <c r="AZ175" s="62"/>
      <c r="BA175" s="62"/>
      <c r="BB175" s="62"/>
      <c r="BC175" s="62"/>
      <c r="BD175" s="62"/>
      <c r="BE175" s="62"/>
      <c r="BF175" s="62"/>
      <c r="BG175" s="62"/>
      <c r="BH175" s="62"/>
      <c r="BI175" s="62"/>
      <c r="BJ175" s="62"/>
      <c r="BK175" s="62"/>
      <c r="BL175" s="62"/>
      <c r="BM175" s="59"/>
      <c r="BN175" s="59"/>
      <c r="BO175" s="59"/>
      <c r="BP175" s="59"/>
      <c r="BQ175" s="59"/>
      <c r="BR175" s="330"/>
      <c r="BS175" s="330"/>
      <c r="BT175" s="59"/>
      <c r="BW175" s="59"/>
      <c r="BX175" s="58"/>
    </row>
    <row r="176" spans="1:76" ht="14.25" customHeight="1" x14ac:dyDescent="0.25">
      <c r="A176" s="200"/>
      <c r="B176" s="216"/>
      <c r="C176" s="53" t="s">
        <v>6</v>
      </c>
      <c r="D176" s="53" t="s">
        <v>5</v>
      </c>
      <c r="E176" s="186">
        <f>E174</f>
        <v>175775</v>
      </c>
      <c r="F176" s="186">
        <f>E176*1.12</f>
        <v>196868.00000000003</v>
      </c>
      <c r="G176" s="197"/>
      <c r="H176" s="196"/>
      <c r="I176" s="183">
        <v>175775</v>
      </c>
      <c r="J176" s="183">
        <f>J175</f>
        <v>196868.00000000003</v>
      </c>
      <c r="K176" s="342"/>
      <c r="L176" s="233"/>
      <c r="M176" s="181"/>
      <c r="N176" s="50">
        <f>P176</f>
        <v>17716120.955357142</v>
      </c>
      <c r="O176" s="50">
        <f>Q176</f>
        <v>19842055.469999999</v>
      </c>
      <c r="P176" s="50">
        <f>Q176/1.12</f>
        <v>17716120.955357142</v>
      </c>
      <c r="Q176" s="50">
        <f>Q175</f>
        <v>19842055.469999999</v>
      </c>
      <c r="R176" s="191"/>
      <c r="S176" s="104"/>
      <c r="T176" s="47"/>
      <c r="U176" s="47"/>
      <c r="V176" s="47"/>
      <c r="W176" s="47"/>
      <c r="X176" s="47"/>
      <c r="Y176" s="47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>
        <f>15041+84763+37240+38731</f>
        <v>175775</v>
      </c>
      <c r="AJ176" s="46">
        <f>AI176*1.12</f>
        <v>196868.00000000003</v>
      </c>
      <c r="AK176" s="46"/>
      <c r="AL176" s="219">
        <f>2302.19105/1.12+12791.69667/1.12+5663.18254/1.12-3469.31012/1.12</f>
        <v>15435.500124999997</v>
      </c>
      <c r="AM176" s="44">
        <f>AM175</f>
        <v>17287.760139999999</v>
      </c>
      <c r="AN176" s="46"/>
      <c r="AO176" s="44">
        <f>AO175</f>
        <v>-8398.3981800847487</v>
      </c>
      <c r="AP176" s="44">
        <f>AP175</f>
        <v>-9406.2059616949191</v>
      </c>
      <c r="AQ176" s="41"/>
      <c r="AR176" s="178"/>
      <c r="AS176" s="101"/>
      <c r="AT176" s="101">
        <f>AL176</f>
        <v>15435.500124999997</v>
      </c>
      <c r="AU176" s="42"/>
      <c r="AV176" s="44">
        <f>AV175</f>
        <v>17716</v>
      </c>
      <c r="AW176" s="41">
        <f>AV176*1.12</f>
        <v>19841.920000000002</v>
      </c>
      <c r="AX176" s="41"/>
      <c r="AY176" s="41"/>
      <c r="AZ176" s="41"/>
      <c r="BA176" s="41"/>
      <c r="BB176" s="41"/>
      <c r="BC176" s="41"/>
      <c r="BD176" s="41"/>
      <c r="BE176" s="41"/>
      <c r="BF176" s="41"/>
      <c r="BG176" s="41"/>
      <c r="BH176" s="41"/>
      <c r="BI176" s="41"/>
      <c r="BJ176" s="41"/>
      <c r="BK176" s="41"/>
      <c r="BL176" s="41"/>
      <c r="BM176" s="39"/>
      <c r="BN176" s="39"/>
      <c r="BO176" s="39"/>
      <c r="BP176" s="39"/>
      <c r="BQ176" s="39"/>
      <c r="BR176" s="323"/>
      <c r="BS176" s="323"/>
      <c r="BT176" s="39"/>
      <c r="BW176" s="39"/>
      <c r="BX176" s="38"/>
    </row>
    <row r="177" spans="1:76" s="201" customFormat="1" ht="14.25" customHeight="1" x14ac:dyDescent="0.25">
      <c r="A177" s="200"/>
      <c r="B177" s="216"/>
      <c r="C177" s="214" t="s">
        <v>9</v>
      </c>
      <c r="D177" s="214" t="s">
        <v>8</v>
      </c>
      <c r="E177" s="213"/>
      <c r="F177" s="213"/>
      <c r="G177" s="197"/>
      <c r="H177" s="196"/>
      <c r="I177" s="212"/>
      <c r="J177" s="212"/>
      <c r="K177" s="238" t="s">
        <v>34</v>
      </c>
      <c r="L177" s="237" t="s">
        <v>96</v>
      </c>
      <c r="M177" s="211" t="s">
        <v>13</v>
      </c>
      <c r="N177" s="210">
        <f>P177</f>
        <v>18823378.517857142</v>
      </c>
      <c r="O177" s="210">
        <f>Q177</f>
        <v>21082183.940000001</v>
      </c>
      <c r="P177" s="210">
        <f>Q177/1.12</f>
        <v>18823378.517857142</v>
      </c>
      <c r="Q177" s="210">
        <v>21082183.940000001</v>
      </c>
      <c r="R177" s="191"/>
      <c r="S177" s="104">
        <v>17</v>
      </c>
      <c r="T177" s="315"/>
      <c r="U177" s="315"/>
      <c r="V177" s="315"/>
      <c r="W177" s="315"/>
      <c r="X177" s="315"/>
      <c r="Y177" s="315"/>
      <c r="Z177" s="206"/>
      <c r="AA177" s="206"/>
      <c r="AB177" s="206"/>
      <c r="AC177" s="206"/>
      <c r="AD177" s="206"/>
      <c r="AE177" s="206"/>
      <c r="AF177" s="206"/>
      <c r="AG177" s="206"/>
      <c r="AH177" s="206"/>
      <c r="AI177" s="206"/>
      <c r="AJ177" s="206"/>
      <c r="AK177" s="206"/>
      <c r="AL177" s="206">
        <v>12062</v>
      </c>
      <c r="AM177" s="203">
        <f>AL177*1.12</f>
        <v>13509.44</v>
      </c>
      <c r="AN177" s="206">
        <f>8+9</f>
        <v>17</v>
      </c>
      <c r="AO177" s="203">
        <f>AL177-($AI$174/$AK$174*$AN177)+$AI$174/$AK$174*AQ177</f>
        <v>-13261.516949152541</v>
      </c>
      <c r="AP177" s="203">
        <f>AM177-($AJ$174/$AK$174*$AN177)</f>
        <v>-14852.898983050849</v>
      </c>
      <c r="AQ177" s="203">
        <f>AN177-S177</f>
        <v>0</v>
      </c>
      <c r="AR177" s="205" t="str">
        <f>IF(AI177=0,"",AL177/AI177)</f>
        <v/>
      </c>
      <c r="AS177" s="204"/>
      <c r="AT177" s="204"/>
      <c r="AU177" s="204"/>
      <c r="AV177" s="203">
        <f>ROUND(P177/1000,0)</f>
        <v>18823</v>
      </c>
      <c r="AW177" s="203">
        <f>AV177*1.12</f>
        <v>21081.760000000002</v>
      </c>
      <c r="AX177" s="203">
        <f>S177</f>
        <v>17</v>
      </c>
      <c r="AY177" s="203">
        <f>$AI$174/$AK$174*AQ177</f>
        <v>0</v>
      </c>
      <c r="AZ177" s="203">
        <f>AL177-$AI$174/$AK$174*AN177</f>
        <v>-13261.516949152541</v>
      </c>
      <c r="BA177" s="203"/>
      <c r="BB177" s="203"/>
      <c r="BC177" s="203"/>
      <c r="BD177" s="203"/>
      <c r="BE177" s="203"/>
      <c r="BF177" s="203"/>
      <c r="BG177" s="203"/>
      <c r="BH177" s="203"/>
      <c r="BI177" s="203"/>
      <c r="BJ177" s="203"/>
      <c r="BK177" s="203"/>
      <c r="BL177" s="203"/>
      <c r="BM177" s="202"/>
      <c r="BN177" s="202"/>
      <c r="BO177" s="202"/>
      <c r="BP177" s="202"/>
      <c r="BQ177" s="202"/>
      <c r="BR177" s="334"/>
      <c r="BS177" s="334"/>
      <c r="BT177" s="202"/>
      <c r="BW177" s="202"/>
      <c r="BX177" s="314"/>
    </row>
    <row r="178" spans="1:76" s="57" customFormat="1" ht="14.25" customHeight="1" x14ac:dyDescent="0.25">
      <c r="A178" s="200"/>
      <c r="B178" s="216"/>
      <c r="C178" s="70" t="s">
        <v>6</v>
      </c>
      <c r="D178" s="70" t="s">
        <v>26</v>
      </c>
      <c r="E178" s="198"/>
      <c r="F178" s="198"/>
      <c r="G178" s="197"/>
      <c r="H178" s="196"/>
      <c r="I178" s="195"/>
      <c r="J178" s="195"/>
      <c r="K178" s="236"/>
      <c r="L178" s="235"/>
      <c r="M178" s="193"/>
      <c r="N178" s="50">
        <f>P178</f>
        <v>18823378.517857142</v>
      </c>
      <c r="O178" s="50">
        <f>Q178</f>
        <v>21082183.940000001</v>
      </c>
      <c r="P178" s="51">
        <f>Q178/1.12</f>
        <v>18823378.517857142</v>
      </c>
      <c r="Q178" s="51">
        <f>Q177</f>
        <v>21082183.940000001</v>
      </c>
      <c r="R178" s="191"/>
      <c r="S178" s="104"/>
      <c r="T178" s="47"/>
      <c r="U178" s="47"/>
      <c r="V178" s="47"/>
      <c r="W178" s="47"/>
      <c r="X178" s="47"/>
      <c r="Y178" s="47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127">
        <f>4550.22445/1.12+5113.6477/1.12</f>
        <v>8628.4572767857135</v>
      </c>
      <c r="AM178" s="64">
        <f>AL178*1.12</f>
        <v>9663.8721499999992</v>
      </c>
      <c r="AN178" s="66"/>
      <c r="AO178" s="64">
        <f>AL178-($AI$175/$AK$174*AN177)+$AI$175/$AK$174*AQ177</f>
        <v>-16695.059672366828</v>
      </c>
      <c r="AP178" s="64">
        <f>AM178-($AJ$175/$AK$174*$AN177)+$AJ$175/$AK$174*AQ177</f>
        <v>-18698.46683305085</v>
      </c>
      <c r="AQ178" s="62"/>
      <c r="AR178" s="189" t="str">
        <f>IF(AI178=0,"",AL178/AI178)</f>
        <v/>
      </c>
      <c r="AS178" s="115"/>
      <c r="AT178" s="115">
        <f>AL178</f>
        <v>8628.4572767857135</v>
      </c>
      <c r="AU178" s="63"/>
      <c r="AV178" s="64">
        <f>ROUND(P178/1000,0)</f>
        <v>18823</v>
      </c>
      <c r="AW178" s="62">
        <f>AV178*1.12</f>
        <v>21081.760000000002</v>
      </c>
      <c r="AX178" s="62"/>
      <c r="AY178" s="62"/>
      <c r="AZ178" s="62"/>
      <c r="BA178" s="62"/>
      <c r="BB178" s="62"/>
      <c r="BC178" s="62"/>
      <c r="BD178" s="62"/>
      <c r="BE178" s="62"/>
      <c r="BF178" s="62"/>
      <c r="BG178" s="62"/>
      <c r="BH178" s="62"/>
      <c r="BI178" s="62"/>
      <c r="BJ178" s="62"/>
      <c r="BK178" s="62"/>
      <c r="BL178" s="62"/>
      <c r="BM178" s="59"/>
      <c r="BN178" s="59"/>
      <c r="BO178" s="59"/>
      <c r="BP178" s="59"/>
      <c r="BQ178" s="59"/>
      <c r="BR178" s="330"/>
      <c r="BS178" s="330"/>
      <c r="BT178" s="59"/>
      <c r="BW178" s="59"/>
      <c r="BX178" s="58"/>
    </row>
    <row r="179" spans="1:76" ht="14.25" customHeight="1" x14ac:dyDescent="0.25">
      <c r="A179" s="200"/>
      <c r="B179" s="216"/>
      <c r="C179" s="53" t="s">
        <v>6</v>
      </c>
      <c r="D179" s="53" t="s">
        <v>5</v>
      </c>
      <c r="E179" s="186"/>
      <c r="F179" s="186"/>
      <c r="G179" s="197"/>
      <c r="H179" s="196"/>
      <c r="I179" s="183"/>
      <c r="J179" s="183"/>
      <c r="K179" s="234"/>
      <c r="L179" s="233"/>
      <c r="M179" s="181"/>
      <c r="N179" s="50">
        <f>P179</f>
        <v>18823378.517857142</v>
      </c>
      <c r="O179" s="50">
        <f>Q179</f>
        <v>21082183.940000001</v>
      </c>
      <c r="P179" s="50">
        <f>Q179/1.12</f>
        <v>18823378.517857142</v>
      </c>
      <c r="Q179" s="50">
        <f>Q178</f>
        <v>21082183.940000001</v>
      </c>
      <c r="R179" s="191"/>
      <c r="S179" s="104"/>
      <c r="T179" s="47"/>
      <c r="U179" s="47"/>
      <c r="V179" s="47"/>
      <c r="W179" s="47"/>
      <c r="X179" s="47"/>
      <c r="Y179" s="47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103">
        <f>AL178</f>
        <v>8628.4572767857135</v>
      </c>
      <c r="AM179" s="44">
        <f>AM178</f>
        <v>9663.8721499999992</v>
      </c>
      <c r="AN179" s="46"/>
      <c r="AO179" s="44">
        <f>AO178</f>
        <v>-16695.059672366828</v>
      </c>
      <c r="AP179" s="44">
        <f>AP178</f>
        <v>-18698.46683305085</v>
      </c>
      <c r="AQ179" s="41"/>
      <c r="AR179" s="178" t="str">
        <f>IF(AI179=0,"",AL179/AI179)</f>
        <v/>
      </c>
      <c r="AS179" s="101"/>
      <c r="AT179" s="101">
        <f>AL179</f>
        <v>8628.4572767857135</v>
      </c>
      <c r="AU179" s="42"/>
      <c r="AV179" s="44">
        <f>AV178</f>
        <v>18823</v>
      </c>
      <c r="AW179" s="41">
        <f>AV179*1.12</f>
        <v>21081.760000000002</v>
      </c>
      <c r="AX179" s="41"/>
      <c r="AY179" s="41"/>
      <c r="AZ179" s="41"/>
      <c r="BA179" s="41"/>
      <c r="BB179" s="41"/>
      <c r="BC179" s="41"/>
      <c r="BD179" s="41"/>
      <c r="BE179" s="41"/>
      <c r="BF179" s="41"/>
      <c r="BG179" s="41"/>
      <c r="BH179" s="41"/>
      <c r="BI179" s="41"/>
      <c r="BJ179" s="41"/>
      <c r="BK179" s="41"/>
      <c r="BL179" s="41"/>
      <c r="BM179" s="39"/>
      <c r="BN179" s="39"/>
      <c r="BO179" s="39"/>
      <c r="BP179" s="39"/>
      <c r="BQ179" s="39"/>
      <c r="BR179" s="323"/>
      <c r="BS179" s="323"/>
      <c r="BT179" s="39"/>
      <c r="BW179" s="39"/>
      <c r="BX179" s="38"/>
    </row>
    <row r="180" spans="1:76" s="201" customFormat="1" ht="14.25" customHeight="1" x14ac:dyDescent="0.25">
      <c r="A180" s="200"/>
      <c r="B180" s="216"/>
      <c r="C180" s="214" t="s">
        <v>9</v>
      </c>
      <c r="D180" s="214" t="s">
        <v>8</v>
      </c>
      <c r="E180" s="213"/>
      <c r="F180" s="213"/>
      <c r="G180" s="197"/>
      <c r="H180" s="196"/>
      <c r="I180" s="212"/>
      <c r="J180" s="212"/>
      <c r="K180" s="337" t="s">
        <v>40</v>
      </c>
      <c r="L180" s="336" t="s">
        <v>90</v>
      </c>
      <c r="M180" s="268" t="s">
        <v>13</v>
      </c>
      <c r="N180" s="210">
        <f>P180</f>
        <v>2214515.1160714286</v>
      </c>
      <c r="O180" s="210">
        <f>Q180</f>
        <v>2480256.9300000002</v>
      </c>
      <c r="P180" s="210">
        <f>Q180/1.12</f>
        <v>2214515.1160714286</v>
      </c>
      <c r="Q180" s="210">
        <v>2480256.9300000002</v>
      </c>
      <c r="R180" s="191"/>
      <c r="S180" s="104">
        <v>2</v>
      </c>
      <c r="T180" s="315"/>
      <c r="U180" s="315"/>
      <c r="V180" s="315"/>
      <c r="W180" s="315"/>
      <c r="X180" s="315"/>
      <c r="Y180" s="315"/>
      <c r="Z180" s="206"/>
      <c r="AA180" s="206"/>
      <c r="AB180" s="206"/>
      <c r="AC180" s="206"/>
      <c r="AD180" s="206"/>
      <c r="AE180" s="206"/>
      <c r="AF180" s="206"/>
      <c r="AG180" s="206"/>
      <c r="AH180" s="206"/>
      <c r="AI180" s="206"/>
      <c r="AJ180" s="206"/>
      <c r="AK180" s="206"/>
      <c r="AL180" s="206">
        <f>1769</f>
        <v>1769</v>
      </c>
      <c r="AM180" s="203">
        <f>AL180*1.12</f>
        <v>1981.2800000000002</v>
      </c>
      <c r="AN180" s="206">
        <f>2</f>
        <v>2</v>
      </c>
      <c r="AO180" s="213">
        <f>AL180-($AI$174/$AK$174*$AN180)</f>
        <v>-1210.2372881355932</v>
      </c>
      <c r="AP180" s="213">
        <f>AM180-($AJ$174/$AK$174*$AN180)</f>
        <v>-1355.4657627118645</v>
      </c>
      <c r="AQ180" s="213">
        <f>AN180-S180</f>
        <v>0</v>
      </c>
      <c r="AR180" s="205" t="str">
        <f>IF(AI180=0,"",AL180/AI180)</f>
        <v/>
      </c>
      <c r="AS180" s="204"/>
      <c r="AT180" s="204"/>
      <c r="AU180" s="204"/>
      <c r="AV180" s="203">
        <f>ROUND(P180/1000,0)</f>
        <v>2215</v>
      </c>
      <c r="AW180" s="203">
        <f>AV180*1.12</f>
        <v>2480.8000000000002</v>
      </c>
      <c r="AX180" s="203">
        <f>S180</f>
        <v>2</v>
      </c>
      <c r="AY180" s="203">
        <f>$AI$174/$AK$174*AQ180</f>
        <v>0</v>
      </c>
      <c r="AZ180" s="203">
        <f>AL180-$AI$174/$AK$174*AN180</f>
        <v>-1210.2372881355932</v>
      </c>
      <c r="BA180" s="203"/>
      <c r="BB180" s="203"/>
      <c r="BC180" s="203"/>
      <c r="BD180" s="203"/>
      <c r="BE180" s="203"/>
      <c r="BF180" s="203"/>
      <c r="BG180" s="203"/>
      <c r="BH180" s="203"/>
      <c r="BI180" s="203"/>
      <c r="BJ180" s="203"/>
      <c r="BK180" s="203"/>
      <c r="BL180" s="203"/>
      <c r="BM180" s="202"/>
      <c r="BN180" s="202"/>
      <c r="BO180" s="202"/>
      <c r="BP180" s="202"/>
      <c r="BQ180" s="202"/>
      <c r="BR180" s="334"/>
      <c r="BS180" s="334"/>
      <c r="BT180" s="202"/>
      <c r="BW180" s="202"/>
      <c r="BX180" s="314"/>
    </row>
    <row r="181" spans="1:76" s="57" customFormat="1" ht="14.25" customHeight="1" x14ac:dyDescent="0.25">
      <c r="A181" s="200"/>
      <c r="B181" s="216"/>
      <c r="C181" s="70" t="s">
        <v>6</v>
      </c>
      <c r="D181" s="70" t="s">
        <v>26</v>
      </c>
      <c r="E181" s="198"/>
      <c r="F181" s="198"/>
      <c r="G181" s="197"/>
      <c r="H181" s="196"/>
      <c r="I181" s="195"/>
      <c r="J181" s="195"/>
      <c r="K181" s="337"/>
      <c r="L181" s="336"/>
      <c r="M181" s="268"/>
      <c r="N181" s="50">
        <f>P181</f>
        <v>2214515.1160714286</v>
      </c>
      <c r="O181" s="50">
        <f>Q181</f>
        <v>2480256.9300000002</v>
      </c>
      <c r="P181" s="51">
        <f>Q181/1.12</f>
        <v>2214515.1160714286</v>
      </c>
      <c r="Q181" s="51">
        <f>Q180</f>
        <v>2480256.9300000002</v>
      </c>
      <c r="R181" s="191"/>
      <c r="S181" s="104"/>
      <c r="T181" s="47"/>
      <c r="U181" s="47"/>
      <c r="V181" s="47"/>
      <c r="W181" s="47"/>
      <c r="X181" s="47"/>
      <c r="Y181" s="47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127">
        <f>1980.50442/1.12</f>
        <v>1768.3075178571428</v>
      </c>
      <c r="AM181" s="64">
        <f>AL181*1.12</f>
        <v>1980.5044200000002</v>
      </c>
      <c r="AN181" s="66"/>
      <c r="AO181" s="64">
        <f>AL181-($AI$175/$AK$174*AN180)+$AI$175/$AK$174*AQ180</f>
        <v>-1210.9297702784504</v>
      </c>
      <c r="AP181" s="64">
        <f>AM181-($AJ$175/$AK$174*$AN180)+$AJ$175/$AK$174*AQ180</f>
        <v>-1356.2413427118645</v>
      </c>
      <c r="AQ181" s="62"/>
      <c r="AR181" s="189" t="str">
        <f>IF(AI181=0,"",AL181/AI181)</f>
        <v/>
      </c>
      <c r="AS181" s="115"/>
      <c r="AT181" s="115">
        <f>AL181</f>
        <v>1768.3075178571428</v>
      </c>
      <c r="AU181" s="63"/>
      <c r="AV181" s="64">
        <f>ROUND(P181/1000,0)</f>
        <v>2215</v>
      </c>
      <c r="AW181" s="62">
        <f>AV181*1.12</f>
        <v>2480.8000000000002</v>
      </c>
      <c r="AX181" s="62"/>
      <c r="AY181" s="62"/>
      <c r="AZ181" s="62"/>
      <c r="BA181" s="62"/>
      <c r="BB181" s="62"/>
      <c r="BC181" s="62"/>
      <c r="BD181" s="62"/>
      <c r="BE181" s="62"/>
      <c r="BF181" s="62"/>
      <c r="BG181" s="62"/>
      <c r="BH181" s="62"/>
      <c r="BI181" s="62"/>
      <c r="BJ181" s="62"/>
      <c r="BK181" s="62"/>
      <c r="BL181" s="62"/>
      <c r="BM181" s="59"/>
      <c r="BN181" s="59"/>
      <c r="BO181" s="59"/>
      <c r="BP181" s="59"/>
      <c r="BQ181" s="59"/>
      <c r="BR181" s="330"/>
      <c r="BS181" s="330"/>
      <c r="BT181" s="59"/>
      <c r="BW181" s="59"/>
      <c r="BX181" s="58"/>
    </row>
    <row r="182" spans="1:76" ht="14.25" customHeight="1" x14ac:dyDescent="0.25">
      <c r="A182" s="200"/>
      <c r="B182" s="216"/>
      <c r="C182" s="53" t="s">
        <v>6</v>
      </c>
      <c r="D182" s="53" t="s">
        <v>5</v>
      </c>
      <c r="E182" s="186"/>
      <c r="F182" s="186"/>
      <c r="G182" s="197"/>
      <c r="H182" s="196"/>
      <c r="I182" s="183"/>
      <c r="J182" s="183"/>
      <c r="K182" s="337"/>
      <c r="L182" s="336"/>
      <c r="M182" s="268"/>
      <c r="N182" s="50">
        <f>P182</f>
        <v>2214515.1160714286</v>
      </c>
      <c r="O182" s="50">
        <f>Q182</f>
        <v>2480256.9300000002</v>
      </c>
      <c r="P182" s="50">
        <f>Q182/1.12</f>
        <v>2214515.1160714286</v>
      </c>
      <c r="Q182" s="50">
        <f>Q181</f>
        <v>2480256.9300000002</v>
      </c>
      <c r="R182" s="56"/>
      <c r="S182" s="104"/>
      <c r="T182" s="47"/>
      <c r="U182" s="47"/>
      <c r="V182" s="47"/>
      <c r="W182" s="47"/>
      <c r="X182" s="47"/>
      <c r="Y182" s="47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103">
        <f>AL181</f>
        <v>1768.3075178571428</v>
      </c>
      <c r="AM182" s="44">
        <f>AL182*1.12</f>
        <v>1980.5044200000002</v>
      </c>
      <c r="AN182" s="46"/>
      <c r="AO182" s="44">
        <f>AO181</f>
        <v>-1210.9297702784504</v>
      </c>
      <c r="AP182" s="44">
        <f>AP181</f>
        <v>-1356.2413427118645</v>
      </c>
      <c r="AQ182" s="41"/>
      <c r="AR182" s="178" t="str">
        <f>IF(AI182=0,"",AL182/AI182)</f>
        <v/>
      </c>
      <c r="AS182" s="101"/>
      <c r="AT182" s="101">
        <f>AL182</f>
        <v>1768.3075178571428</v>
      </c>
      <c r="AU182" s="42"/>
      <c r="AV182" s="44">
        <f>AV181</f>
        <v>2215</v>
      </c>
      <c r="AW182" s="41">
        <f>AV182*1.12</f>
        <v>2480.8000000000002</v>
      </c>
      <c r="AX182" s="41"/>
      <c r="AY182" s="41"/>
      <c r="AZ182" s="41"/>
      <c r="BA182" s="41"/>
      <c r="BB182" s="41"/>
      <c r="BC182" s="41"/>
      <c r="BD182" s="41"/>
      <c r="BE182" s="41"/>
      <c r="BF182" s="41"/>
      <c r="BG182" s="41"/>
      <c r="BH182" s="41"/>
      <c r="BI182" s="41"/>
      <c r="BJ182" s="41"/>
      <c r="BK182" s="41"/>
      <c r="BL182" s="41"/>
      <c r="BM182" s="39"/>
      <c r="BN182" s="39"/>
      <c r="BO182" s="39"/>
      <c r="BP182" s="39"/>
      <c r="BQ182" s="39"/>
      <c r="BR182" s="323"/>
      <c r="BS182" s="323"/>
      <c r="BT182" s="39"/>
      <c r="BW182" s="39"/>
      <c r="BX182" s="38"/>
    </row>
    <row r="183" spans="1:76" s="201" customFormat="1" ht="18" customHeight="1" x14ac:dyDescent="0.25">
      <c r="A183" s="200"/>
      <c r="B183" s="216"/>
      <c r="C183" s="214" t="s">
        <v>9</v>
      </c>
      <c r="D183" s="214" t="s">
        <v>8</v>
      </c>
      <c r="E183" s="213"/>
      <c r="F183" s="213"/>
      <c r="G183" s="197"/>
      <c r="H183" s="196"/>
      <c r="I183" s="212"/>
      <c r="J183" s="212"/>
      <c r="K183" s="238" t="s">
        <v>55</v>
      </c>
      <c r="L183" s="364" t="s">
        <v>89</v>
      </c>
      <c r="M183" s="211" t="s">
        <v>13</v>
      </c>
      <c r="N183" s="210">
        <f>P183</f>
        <v>44287999.999999993</v>
      </c>
      <c r="O183" s="210">
        <f>Q183</f>
        <v>49602560</v>
      </c>
      <c r="P183" s="210">
        <f>Q183/1.12</f>
        <v>44287999.999999993</v>
      </c>
      <c r="Q183" s="210">
        <v>49602560</v>
      </c>
      <c r="R183" s="113" t="s">
        <v>87</v>
      </c>
      <c r="S183" s="104">
        <v>40</v>
      </c>
      <c r="T183" s="315"/>
      <c r="U183" s="315"/>
      <c r="V183" s="315"/>
      <c r="W183" s="315"/>
      <c r="X183" s="315"/>
      <c r="Y183" s="315"/>
      <c r="Z183" s="206"/>
      <c r="AA183" s="206"/>
      <c r="AB183" s="206"/>
      <c r="AC183" s="206"/>
      <c r="AD183" s="206"/>
      <c r="AE183" s="206"/>
      <c r="AF183" s="206"/>
      <c r="AG183" s="206"/>
      <c r="AH183" s="206"/>
      <c r="AI183" s="206"/>
      <c r="AJ183" s="206"/>
      <c r="AK183" s="206"/>
      <c r="AL183" s="212">
        <v>28585</v>
      </c>
      <c r="AM183" s="203">
        <f>AL183*1.12</f>
        <v>32015.200000000004</v>
      </c>
      <c r="AN183" s="212">
        <f>7+10+23</f>
        <v>40</v>
      </c>
      <c r="AO183" s="213">
        <f>$AI$174/$AK$174*AQ183</f>
        <v>0</v>
      </c>
      <c r="AP183" s="213">
        <f>AO183*1.12</f>
        <v>0</v>
      </c>
      <c r="AQ183" s="213">
        <f>AN183-S183</f>
        <v>0</v>
      </c>
      <c r="AR183" s="205" t="str">
        <f>IF(AI183=0,"",AL183/AI183)</f>
        <v/>
      </c>
      <c r="AS183" s="204"/>
      <c r="AT183" s="204"/>
      <c r="AU183" s="204"/>
      <c r="AV183" s="203">
        <f>E168-AV168-AV171-AV174</f>
        <v>-17716</v>
      </c>
      <c r="AW183" s="203">
        <f>AV183*1.12</f>
        <v>-19841.920000000002</v>
      </c>
      <c r="AX183" s="203">
        <f>H168-AX168-AX171-AX174</f>
        <v>-16</v>
      </c>
      <c r="AY183" s="203">
        <f>$AI$174/$AK$174*AQ183</f>
        <v>0</v>
      </c>
      <c r="AZ183" s="203">
        <f>AL183-$AI$174/$AK$174*AN183</f>
        <v>-30999.745762711864</v>
      </c>
      <c r="BA183" s="203"/>
      <c r="BB183" s="203"/>
      <c r="BC183" s="203"/>
      <c r="BD183" s="203"/>
      <c r="BE183" s="203"/>
      <c r="BF183" s="203"/>
      <c r="BG183" s="203"/>
      <c r="BH183" s="203"/>
      <c r="BI183" s="203"/>
      <c r="BJ183" s="203"/>
      <c r="BK183" s="203"/>
      <c r="BL183" s="203"/>
      <c r="BM183" s="202"/>
      <c r="BN183" s="202"/>
      <c r="BO183" s="202"/>
      <c r="BP183" s="202"/>
      <c r="BQ183" s="202"/>
      <c r="BR183" s="334"/>
      <c r="BS183" s="334"/>
      <c r="BT183" s="202"/>
      <c r="BW183" s="202"/>
      <c r="BX183" s="314"/>
    </row>
    <row r="184" spans="1:76" s="57" customFormat="1" ht="18" customHeight="1" x14ac:dyDescent="0.25">
      <c r="A184" s="200"/>
      <c r="B184" s="216"/>
      <c r="C184" s="70" t="s">
        <v>6</v>
      </c>
      <c r="D184" s="70" t="s">
        <v>26</v>
      </c>
      <c r="E184" s="198"/>
      <c r="F184" s="198"/>
      <c r="G184" s="197"/>
      <c r="H184" s="196"/>
      <c r="I184" s="195"/>
      <c r="J184" s="195"/>
      <c r="K184" s="236"/>
      <c r="L184" s="363"/>
      <c r="M184" s="193"/>
      <c r="N184" s="50">
        <f>P184</f>
        <v>44287999.999999993</v>
      </c>
      <c r="O184" s="50">
        <f>Q184</f>
        <v>49602560</v>
      </c>
      <c r="P184" s="51">
        <f>Q184/1.12</f>
        <v>44287999.999999993</v>
      </c>
      <c r="Q184" s="51">
        <f>Q183</f>
        <v>49602560</v>
      </c>
      <c r="R184" s="113"/>
      <c r="S184" s="104"/>
      <c r="T184" s="47"/>
      <c r="U184" s="47"/>
      <c r="V184" s="47"/>
      <c r="W184" s="47"/>
      <c r="X184" s="47"/>
      <c r="Y184" s="47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360">
        <f>5837.24417/1.12+6801.41817/1.12+16760.71638/1.12</f>
        <v>26249.445285714282</v>
      </c>
      <c r="AM184" s="64">
        <f>AL184*1.12</f>
        <v>29399.378720000001</v>
      </c>
      <c r="AN184" s="66"/>
      <c r="AO184" s="64">
        <f>AL184-($AI$175/$AK$174*AN183)+$AI$175/$AK$174*AQ183</f>
        <v>-33335.300476997581</v>
      </c>
      <c r="AP184" s="129">
        <f>AO184*1.12</f>
        <v>-37335.536534237297</v>
      </c>
      <c r="AQ184" s="198"/>
      <c r="AR184" s="189" t="str">
        <f>IF(AI184=0,"",AL184/AI184)</f>
        <v/>
      </c>
      <c r="AS184" s="115"/>
      <c r="AT184" s="115">
        <f>AL184</f>
        <v>26249.445285714282</v>
      </c>
      <c r="AU184" s="63"/>
      <c r="AV184" s="64">
        <f>E169-AV169-AV172-AV175</f>
        <v>-139236</v>
      </c>
      <c r="AW184" s="64">
        <f>AV184*1.12</f>
        <v>-155944.32000000001</v>
      </c>
      <c r="AX184" s="62"/>
      <c r="AY184" s="62"/>
      <c r="AZ184" s="62"/>
      <c r="BA184" s="62"/>
      <c r="BB184" s="62"/>
      <c r="BC184" s="62"/>
      <c r="BD184" s="62"/>
      <c r="BE184" s="62"/>
      <c r="BF184" s="62"/>
      <c r="BG184" s="62"/>
      <c r="BH184" s="62"/>
      <c r="BI184" s="62"/>
      <c r="BJ184" s="62"/>
      <c r="BK184" s="62"/>
      <c r="BL184" s="62"/>
      <c r="BM184" s="59"/>
      <c r="BN184" s="59"/>
      <c r="BO184" s="59"/>
      <c r="BP184" s="59"/>
      <c r="BQ184" s="59"/>
      <c r="BR184" s="330"/>
      <c r="BS184" s="330"/>
      <c r="BT184" s="59"/>
      <c r="BW184" s="59"/>
      <c r="BX184" s="58"/>
    </row>
    <row r="185" spans="1:76" ht="18" customHeight="1" x14ac:dyDescent="0.25">
      <c r="A185" s="200"/>
      <c r="B185" s="216"/>
      <c r="C185" s="53" t="s">
        <v>6</v>
      </c>
      <c r="D185" s="53" t="s">
        <v>5</v>
      </c>
      <c r="E185" s="186"/>
      <c r="F185" s="186"/>
      <c r="G185" s="197"/>
      <c r="H185" s="196"/>
      <c r="I185" s="183"/>
      <c r="J185" s="183"/>
      <c r="K185" s="234"/>
      <c r="L185" s="362"/>
      <c r="M185" s="181"/>
      <c r="N185" s="50">
        <f>P185</f>
        <v>44287999.999999993</v>
      </c>
      <c r="O185" s="50">
        <f>Q185</f>
        <v>49602560</v>
      </c>
      <c r="P185" s="50">
        <f>Q185/1.12</f>
        <v>44287999.999999993</v>
      </c>
      <c r="Q185" s="50">
        <f>Q184</f>
        <v>49602560</v>
      </c>
      <c r="R185" s="113"/>
      <c r="S185" s="104"/>
      <c r="T185" s="47"/>
      <c r="U185" s="47"/>
      <c r="V185" s="47"/>
      <c r="W185" s="47"/>
      <c r="X185" s="47"/>
      <c r="Y185" s="47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103">
        <f>AL184</f>
        <v>26249.445285714282</v>
      </c>
      <c r="AM185" s="44">
        <f>AL185*1.12</f>
        <v>29399.378720000001</v>
      </c>
      <c r="AN185" s="46"/>
      <c r="AO185" s="137">
        <f>AO184</f>
        <v>-33335.300476997581</v>
      </c>
      <c r="AP185" s="137">
        <f>AO185*1.12</f>
        <v>-37335.536534237297</v>
      </c>
      <c r="AQ185" s="186"/>
      <c r="AR185" s="178" t="str">
        <f>IF(AI185=0,"",AL185/AI185)</f>
        <v/>
      </c>
      <c r="AS185" s="101"/>
      <c r="AT185" s="101">
        <f>AL185</f>
        <v>26249.445285714282</v>
      </c>
      <c r="AU185" s="42"/>
      <c r="AV185" s="44">
        <f>AV184</f>
        <v>-139236</v>
      </c>
      <c r="AW185" s="44">
        <f>AV185*1.12</f>
        <v>-155944.32000000001</v>
      </c>
      <c r="AX185" s="41"/>
      <c r="AY185" s="41"/>
      <c r="AZ185" s="41"/>
      <c r="BA185" s="41"/>
      <c r="BB185" s="41"/>
      <c r="BC185" s="41"/>
      <c r="BD185" s="41"/>
      <c r="BE185" s="41"/>
      <c r="BF185" s="41"/>
      <c r="BG185" s="41"/>
      <c r="BH185" s="41"/>
      <c r="BI185" s="41"/>
      <c r="BJ185" s="41"/>
      <c r="BK185" s="41"/>
      <c r="BL185" s="41"/>
      <c r="BM185" s="39"/>
      <c r="BN185" s="39"/>
      <c r="BO185" s="39"/>
      <c r="BP185" s="39"/>
      <c r="BQ185" s="39"/>
      <c r="BR185" s="323"/>
      <c r="BS185" s="323"/>
      <c r="BT185" s="39"/>
      <c r="BW185" s="39"/>
      <c r="BX185" s="38"/>
    </row>
    <row r="186" spans="1:76" s="201" customFormat="1" ht="18" customHeight="1" x14ac:dyDescent="0.25">
      <c r="A186" s="200"/>
      <c r="B186" s="216"/>
      <c r="C186" s="214" t="s">
        <v>9</v>
      </c>
      <c r="D186" s="214" t="s">
        <v>8</v>
      </c>
      <c r="E186" s="213"/>
      <c r="F186" s="213"/>
      <c r="G186" s="197"/>
      <c r="H186" s="196"/>
      <c r="I186" s="212"/>
      <c r="J186" s="212"/>
      <c r="K186" s="238" t="s">
        <v>34</v>
      </c>
      <c r="L186" s="237" t="s">
        <v>88</v>
      </c>
      <c r="M186" s="211" t="s">
        <v>13</v>
      </c>
      <c r="N186" s="210">
        <f>P186</f>
        <v>39739473.821428567</v>
      </c>
      <c r="O186" s="210">
        <f>Q186</f>
        <v>44508210.68</v>
      </c>
      <c r="P186" s="210">
        <f>Q186/1.12</f>
        <v>39739473.821428567</v>
      </c>
      <c r="Q186" s="210">
        <v>44508210.68</v>
      </c>
      <c r="R186" s="113" t="s">
        <v>32</v>
      </c>
      <c r="S186" s="104">
        <v>37</v>
      </c>
      <c r="T186" s="315"/>
      <c r="U186" s="315"/>
      <c r="V186" s="315"/>
      <c r="W186" s="315"/>
      <c r="X186" s="315"/>
      <c r="Y186" s="315"/>
      <c r="Z186" s="206"/>
      <c r="AA186" s="206"/>
      <c r="AB186" s="206"/>
      <c r="AC186" s="206"/>
      <c r="AD186" s="206"/>
      <c r="AE186" s="206"/>
      <c r="AF186" s="206"/>
      <c r="AG186" s="206"/>
      <c r="AH186" s="206"/>
      <c r="AI186" s="206"/>
      <c r="AJ186" s="206"/>
      <c r="AK186" s="206"/>
      <c r="AL186" s="212">
        <f>1294+26939</f>
        <v>28233</v>
      </c>
      <c r="AM186" s="203">
        <f>AL186*1.12</f>
        <v>31620.960000000003</v>
      </c>
      <c r="AN186" s="212">
        <f>1+35+1</f>
        <v>37</v>
      </c>
      <c r="AO186" s="213">
        <f>$AI$174/$AK$174*AQ186</f>
        <v>0</v>
      </c>
      <c r="AP186" s="213">
        <f>AO186*1.12</f>
        <v>0</v>
      </c>
      <c r="AQ186" s="213">
        <f>AN186-S186</f>
        <v>0</v>
      </c>
      <c r="AR186" s="205" t="str">
        <f>IF(AI186=0,"",AL186/AI186)</f>
        <v/>
      </c>
      <c r="AS186" s="204"/>
      <c r="AT186" s="204"/>
      <c r="AU186" s="204"/>
      <c r="AV186" s="203">
        <f>E171-AV171-AV174-AV177</f>
        <v>-36539</v>
      </c>
      <c r="AW186" s="203">
        <f>AV186*1.12</f>
        <v>-40923.68</v>
      </c>
      <c r="AX186" s="203">
        <f>H171-AX171-AX174-AX177</f>
        <v>-33</v>
      </c>
      <c r="AY186" s="203">
        <f>$AI$174/$AK$174*AQ186</f>
        <v>0</v>
      </c>
      <c r="AZ186" s="203">
        <f>AL186-$AI$174/$AK$174*AN186</f>
        <v>-26882.889830508473</v>
      </c>
      <c r="BA186" s="203"/>
      <c r="BB186" s="203"/>
      <c r="BC186" s="203"/>
      <c r="BD186" s="203"/>
      <c r="BE186" s="203"/>
      <c r="BF186" s="203"/>
      <c r="BG186" s="203"/>
      <c r="BH186" s="203"/>
      <c r="BI186" s="203"/>
      <c r="BJ186" s="203"/>
      <c r="BK186" s="203"/>
      <c r="BL186" s="203"/>
      <c r="BM186" s="202"/>
      <c r="BN186" s="202"/>
      <c r="BO186" s="202"/>
      <c r="BP186" s="202"/>
      <c r="BQ186" s="202"/>
      <c r="BR186" s="334"/>
      <c r="BS186" s="334"/>
      <c r="BT186" s="202"/>
      <c r="BW186" s="202"/>
      <c r="BX186" s="314"/>
    </row>
    <row r="187" spans="1:76" s="57" customFormat="1" ht="18" customHeight="1" x14ac:dyDescent="0.25">
      <c r="A187" s="200"/>
      <c r="B187" s="216"/>
      <c r="C187" s="70" t="s">
        <v>6</v>
      </c>
      <c r="D187" s="70" t="s">
        <v>26</v>
      </c>
      <c r="E187" s="198"/>
      <c r="F187" s="198"/>
      <c r="G187" s="197"/>
      <c r="H187" s="196"/>
      <c r="I187" s="195"/>
      <c r="J187" s="195"/>
      <c r="K187" s="236"/>
      <c r="L187" s="235"/>
      <c r="M187" s="193"/>
      <c r="N187" s="50">
        <f>P187</f>
        <v>39739473.821428567</v>
      </c>
      <c r="O187" s="50">
        <f>Q187</f>
        <v>44508210.68</v>
      </c>
      <c r="P187" s="51">
        <f>Q187/1.12</f>
        <v>39739473.821428567</v>
      </c>
      <c r="Q187" s="51">
        <f>Q186</f>
        <v>44508210.68</v>
      </c>
      <c r="R187" s="113"/>
      <c r="S187" s="104"/>
      <c r="T187" s="47"/>
      <c r="U187" s="47"/>
      <c r="V187" s="47"/>
      <c r="W187" s="47"/>
      <c r="X187" s="47"/>
      <c r="Y187" s="47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127">
        <f>23103.94036/1.12+665.99419/1.12</f>
        <v>21223.155848214283</v>
      </c>
      <c r="AM187" s="64">
        <f>AL187*1.12</f>
        <v>23769.934549999998</v>
      </c>
      <c r="AN187" s="66"/>
      <c r="AO187" s="64">
        <f>AL187-($AI$175/$AK$174*AN186)+$AI$175/$AK$174*AQ186</f>
        <v>-33892.733982294187</v>
      </c>
      <c r="AP187" s="129">
        <f>AO187*1.12</f>
        <v>-37959.862060169493</v>
      </c>
      <c r="AQ187" s="198"/>
      <c r="AR187" s="189" t="str">
        <f>IF(AI187=0,"",AL187/AI187)</f>
        <v/>
      </c>
      <c r="AS187" s="115"/>
      <c r="AT187" s="115">
        <f>AL187</f>
        <v>21223.155848214283</v>
      </c>
      <c r="AU187" s="63"/>
      <c r="AV187" s="64">
        <f>E172-AV172-AV175-AV178</f>
        <v>17716</v>
      </c>
      <c r="AW187" s="64">
        <f>AV187*1.12</f>
        <v>19841.920000000002</v>
      </c>
      <c r="AX187" s="62"/>
      <c r="AY187" s="62"/>
      <c r="AZ187" s="62"/>
      <c r="BA187" s="62"/>
      <c r="BB187" s="62"/>
      <c r="BC187" s="62"/>
      <c r="BD187" s="62"/>
      <c r="BE187" s="62"/>
      <c r="BF187" s="62"/>
      <c r="BG187" s="62"/>
      <c r="BH187" s="62"/>
      <c r="BI187" s="62"/>
      <c r="BJ187" s="62"/>
      <c r="BK187" s="62"/>
      <c r="BL187" s="62"/>
      <c r="BM187" s="59"/>
      <c r="BN187" s="59"/>
      <c r="BO187" s="59"/>
      <c r="BP187" s="59"/>
      <c r="BQ187" s="59"/>
      <c r="BR187" s="330"/>
      <c r="BS187" s="330"/>
      <c r="BT187" s="59"/>
      <c r="BW187" s="59"/>
      <c r="BX187" s="58"/>
    </row>
    <row r="188" spans="1:76" ht="18" customHeight="1" x14ac:dyDescent="0.25">
      <c r="A188" s="200"/>
      <c r="B188" s="216"/>
      <c r="C188" s="53" t="s">
        <v>6</v>
      </c>
      <c r="D188" s="53" t="s">
        <v>5</v>
      </c>
      <c r="E188" s="186"/>
      <c r="F188" s="186"/>
      <c r="G188" s="197"/>
      <c r="H188" s="196"/>
      <c r="I188" s="183"/>
      <c r="J188" s="183"/>
      <c r="K188" s="234"/>
      <c r="L188" s="233"/>
      <c r="M188" s="181"/>
      <c r="N188" s="50">
        <f>P188</f>
        <v>39739473.821428567</v>
      </c>
      <c r="O188" s="50">
        <f>Q188</f>
        <v>44508210.68</v>
      </c>
      <c r="P188" s="50">
        <f>Q188/1.12</f>
        <v>39739473.821428567</v>
      </c>
      <c r="Q188" s="50">
        <f>Q187</f>
        <v>44508210.68</v>
      </c>
      <c r="R188" s="113"/>
      <c r="S188" s="104"/>
      <c r="T188" s="47"/>
      <c r="U188" s="47"/>
      <c r="V188" s="47"/>
      <c r="W188" s="47"/>
      <c r="X188" s="47"/>
      <c r="Y188" s="47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103">
        <f>AL187</f>
        <v>21223.155848214283</v>
      </c>
      <c r="AM188" s="44">
        <f>AL188*1.12</f>
        <v>23769.934549999998</v>
      </c>
      <c r="AN188" s="46"/>
      <c r="AO188" s="137">
        <f>AO187</f>
        <v>-33892.733982294187</v>
      </c>
      <c r="AP188" s="137">
        <f>AO188*1.12</f>
        <v>-37959.862060169493</v>
      </c>
      <c r="AQ188" s="186"/>
      <c r="AR188" s="178" t="str">
        <f>IF(AI188=0,"",AL188/AI188)</f>
        <v/>
      </c>
      <c r="AS188" s="101"/>
      <c r="AT188" s="101">
        <f>AL188</f>
        <v>21223.155848214283</v>
      </c>
      <c r="AU188" s="42"/>
      <c r="AV188" s="44">
        <f>AV187</f>
        <v>17716</v>
      </c>
      <c r="AW188" s="44">
        <f>AV188*1.12</f>
        <v>19841.920000000002</v>
      </c>
      <c r="AX188" s="41"/>
      <c r="AY188" s="41"/>
      <c r="AZ188" s="41"/>
      <c r="BA188" s="41"/>
      <c r="BB188" s="41"/>
      <c r="BC188" s="41"/>
      <c r="BD188" s="41"/>
      <c r="BE188" s="41"/>
      <c r="BF188" s="41"/>
      <c r="BG188" s="41"/>
      <c r="BH188" s="41"/>
      <c r="BI188" s="41"/>
      <c r="BJ188" s="41"/>
      <c r="BK188" s="41"/>
      <c r="BL188" s="41"/>
      <c r="BM188" s="39"/>
      <c r="BN188" s="39"/>
      <c r="BO188" s="39"/>
      <c r="BP188" s="39"/>
      <c r="BQ188" s="39"/>
      <c r="BR188" s="323"/>
      <c r="BS188" s="323"/>
      <c r="BT188" s="39"/>
      <c r="BW188" s="39"/>
      <c r="BX188" s="38"/>
    </row>
    <row r="189" spans="1:76" s="201" customFormat="1" ht="18" customHeight="1" x14ac:dyDescent="0.25">
      <c r="A189" s="200"/>
      <c r="B189" s="216"/>
      <c r="C189" s="214" t="s">
        <v>9</v>
      </c>
      <c r="D189" s="214" t="s">
        <v>8</v>
      </c>
      <c r="E189" s="213"/>
      <c r="F189" s="213"/>
      <c r="G189" s="197"/>
      <c r="H189" s="196"/>
      <c r="I189" s="212"/>
      <c r="J189" s="212"/>
      <c r="K189" s="337" t="s">
        <v>40</v>
      </c>
      <c r="L189" s="364" t="s">
        <v>86</v>
      </c>
      <c r="M189" s="211" t="s">
        <v>13</v>
      </c>
      <c r="N189" s="210">
        <f>P189</f>
        <v>6642999.9999999991</v>
      </c>
      <c r="O189" s="210">
        <f>Q189</f>
        <v>7440160</v>
      </c>
      <c r="P189" s="210">
        <f>Q189/1.12</f>
        <v>6642999.9999999991</v>
      </c>
      <c r="Q189" s="210">
        <v>7440160</v>
      </c>
      <c r="R189" s="113" t="s">
        <v>85</v>
      </c>
      <c r="S189" s="104">
        <v>6</v>
      </c>
      <c r="T189" s="315"/>
      <c r="U189" s="315"/>
      <c r="V189" s="315"/>
      <c r="W189" s="315"/>
      <c r="X189" s="315"/>
      <c r="Y189" s="315"/>
      <c r="Z189" s="206"/>
      <c r="AA189" s="206"/>
      <c r="AB189" s="206"/>
      <c r="AC189" s="206"/>
      <c r="AD189" s="206"/>
      <c r="AE189" s="206"/>
      <c r="AF189" s="206"/>
      <c r="AG189" s="206"/>
      <c r="AH189" s="206"/>
      <c r="AI189" s="206"/>
      <c r="AJ189" s="206"/>
      <c r="AK189" s="206"/>
      <c r="AL189" s="206">
        <v>5364</v>
      </c>
      <c r="AM189" s="203">
        <f>AL189*1.12</f>
        <v>6007.68</v>
      </c>
      <c r="AN189" s="206">
        <f>4+2</f>
        <v>6</v>
      </c>
      <c r="AO189" s="213">
        <f>$AI$174/$AK$174*AQ189</f>
        <v>0</v>
      </c>
      <c r="AP189" s="213">
        <f>AO189*1.12</f>
        <v>0</v>
      </c>
      <c r="AQ189" s="213">
        <f>AN189-S189</f>
        <v>0</v>
      </c>
      <c r="AR189" s="205" t="str">
        <f>IF(AI189=0,"",AL189/AI189)</f>
        <v/>
      </c>
      <c r="AS189" s="204"/>
      <c r="AT189" s="204"/>
      <c r="AU189" s="204"/>
      <c r="AV189" s="203">
        <f>E174-AV174-AV177-AV180</f>
        <v>137021</v>
      </c>
      <c r="AW189" s="203">
        <f>AV189*1.12</f>
        <v>153463.52000000002</v>
      </c>
      <c r="AX189" s="203">
        <f>H174-AX174-AX177-AX180</f>
        <v>83</v>
      </c>
      <c r="AY189" s="203">
        <f>$AI$174/$AK$174*AQ189</f>
        <v>0</v>
      </c>
      <c r="AZ189" s="203">
        <f>AL189-$AI$174/$AK$174*AN189</f>
        <v>-3573.7118644067796</v>
      </c>
      <c r="BA189" s="203"/>
      <c r="BB189" s="203"/>
      <c r="BC189" s="203"/>
      <c r="BD189" s="203"/>
      <c r="BE189" s="203"/>
      <c r="BF189" s="203"/>
      <c r="BG189" s="203"/>
      <c r="BH189" s="203"/>
      <c r="BI189" s="203"/>
      <c r="BJ189" s="203"/>
      <c r="BK189" s="203"/>
      <c r="BL189" s="203"/>
      <c r="BM189" s="202"/>
      <c r="BN189" s="202"/>
      <c r="BO189" s="202"/>
      <c r="BP189" s="202"/>
      <c r="BQ189" s="202"/>
      <c r="BR189" s="334"/>
      <c r="BS189" s="334"/>
      <c r="BT189" s="202"/>
      <c r="BW189" s="202"/>
      <c r="BX189" s="314"/>
    </row>
    <row r="190" spans="1:76" s="57" customFormat="1" ht="18" customHeight="1" x14ac:dyDescent="0.25">
      <c r="A190" s="200"/>
      <c r="B190" s="216"/>
      <c r="C190" s="70" t="s">
        <v>6</v>
      </c>
      <c r="D190" s="70" t="s">
        <v>26</v>
      </c>
      <c r="E190" s="198"/>
      <c r="F190" s="198"/>
      <c r="G190" s="197"/>
      <c r="H190" s="196"/>
      <c r="I190" s="195"/>
      <c r="J190" s="195"/>
      <c r="K190" s="337"/>
      <c r="L190" s="363"/>
      <c r="M190" s="193"/>
      <c r="N190" s="50">
        <f>P190</f>
        <v>6642999.9999999991</v>
      </c>
      <c r="O190" s="50">
        <f>Q190</f>
        <v>7440160</v>
      </c>
      <c r="P190" s="51">
        <f>Q190/1.12</f>
        <v>6642999.9999999991</v>
      </c>
      <c r="Q190" s="51">
        <f>Q189</f>
        <v>7440160</v>
      </c>
      <c r="R190" s="113"/>
      <c r="S190" s="104"/>
      <c r="T190" s="47"/>
      <c r="U190" s="47"/>
      <c r="V190" s="47"/>
      <c r="W190" s="47"/>
      <c r="X190" s="47"/>
      <c r="Y190" s="47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331">
        <f>2833.55901/1.12+2168.12886/1.12</f>
        <v>4465.7927410714274</v>
      </c>
      <c r="AM190" s="64">
        <f>AL190*1.12</f>
        <v>5001.6878699999988</v>
      </c>
      <c r="AN190" s="66"/>
      <c r="AO190" s="64">
        <f>AL190-($AI$175/$AK$174*AN189)+$AI$175/$AK$174*AQ189</f>
        <v>-4471.9191233353522</v>
      </c>
      <c r="AP190" s="129">
        <f>AO190*1.12</f>
        <v>-5008.5494181355953</v>
      </c>
      <c r="AQ190" s="198"/>
      <c r="AR190" s="189" t="str">
        <f>IF(AI190=0,"",AL190/AI190)</f>
        <v/>
      </c>
      <c r="AS190" s="115"/>
      <c r="AT190" s="115">
        <f>AL190</f>
        <v>4465.7927410714274</v>
      </c>
      <c r="AU190" s="63"/>
      <c r="AV190" s="64">
        <f>E175-AV175-AV178-AV181</f>
        <v>137021</v>
      </c>
      <c r="AW190" s="64">
        <f>AV190*1.12</f>
        <v>153463.52000000002</v>
      </c>
      <c r="AX190" s="62"/>
      <c r="AY190" s="62"/>
      <c r="AZ190" s="62"/>
      <c r="BA190" s="62"/>
      <c r="BB190" s="62"/>
      <c r="BC190" s="62"/>
      <c r="BD190" s="62"/>
      <c r="BE190" s="62"/>
      <c r="BF190" s="62"/>
      <c r="BG190" s="62"/>
      <c r="BH190" s="62"/>
      <c r="BI190" s="62"/>
      <c r="BJ190" s="62"/>
      <c r="BK190" s="62"/>
      <c r="BL190" s="62"/>
      <c r="BM190" s="59"/>
      <c r="BN190" s="59"/>
      <c r="BO190" s="59"/>
      <c r="BP190" s="59"/>
      <c r="BQ190" s="59"/>
      <c r="BR190" s="330"/>
      <c r="BS190" s="330"/>
      <c r="BT190" s="59"/>
      <c r="BW190" s="59"/>
      <c r="BX190" s="58"/>
    </row>
    <row r="191" spans="1:76" ht="18" customHeight="1" x14ac:dyDescent="0.25">
      <c r="A191" s="55"/>
      <c r="B191" s="215"/>
      <c r="C191" s="53" t="s">
        <v>6</v>
      </c>
      <c r="D191" s="53" t="s">
        <v>5</v>
      </c>
      <c r="E191" s="186"/>
      <c r="F191" s="186"/>
      <c r="G191" s="185"/>
      <c r="H191" s="184"/>
      <c r="I191" s="183"/>
      <c r="J191" s="183"/>
      <c r="K191" s="337"/>
      <c r="L191" s="362"/>
      <c r="M191" s="181"/>
      <c r="N191" s="50">
        <f>P191</f>
        <v>6642999.9999999991</v>
      </c>
      <c r="O191" s="50">
        <f>Q191</f>
        <v>7440160</v>
      </c>
      <c r="P191" s="50">
        <f>Q191/1.12</f>
        <v>6642999.9999999991</v>
      </c>
      <c r="Q191" s="50">
        <f>Q190</f>
        <v>7440160</v>
      </c>
      <c r="R191" s="113"/>
      <c r="S191" s="104"/>
      <c r="T191" s="47"/>
      <c r="U191" s="47"/>
      <c r="V191" s="47"/>
      <c r="W191" s="47"/>
      <c r="X191" s="47"/>
      <c r="Y191" s="47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103">
        <f>AL190</f>
        <v>4465.7927410714274</v>
      </c>
      <c r="AM191" s="44">
        <f>AL191*1.12</f>
        <v>5001.6878699999988</v>
      </c>
      <c r="AN191" s="46"/>
      <c r="AO191" s="137">
        <f>AO190</f>
        <v>-4471.9191233353522</v>
      </c>
      <c r="AP191" s="137">
        <f>AO191*1.12</f>
        <v>-5008.5494181355953</v>
      </c>
      <c r="AQ191" s="186"/>
      <c r="AR191" s="178" t="str">
        <f>IF(AI191=0,"",AL191/AI191)</f>
        <v/>
      </c>
      <c r="AS191" s="101"/>
      <c r="AT191" s="101">
        <f>AL191</f>
        <v>4465.7927410714274</v>
      </c>
      <c r="AU191" s="42"/>
      <c r="AV191" s="44">
        <f>AV190</f>
        <v>137021</v>
      </c>
      <c r="AW191" s="44">
        <f>AV191*1.12</f>
        <v>153463.52000000002</v>
      </c>
      <c r="AX191" s="41"/>
      <c r="AY191" s="41"/>
      <c r="AZ191" s="41"/>
      <c r="BA191" s="41"/>
      <c r="BB191" s="41"/>
      <c r="BC191" s="41"/>
      <c r="BD191" s="41"/>
      <c r="BE191" s="41"/>
      <c r="BF191" s="41"/>
      <c r="BG191" s="41"/>
      <c r="BH191" s="41"/>
      <c r="BI191" s="41"/>
      <c r="BJ191" s="41"/>
      <c r="BK191" s="41"/>
      <c r="BL191" s="41"/>
      <c r="BM191" s="39"/>
      <c r="BN191" s="39"/>
      <c r="BO191" s="39"/>
      <c r="BP191" s="39"/>
      <c r="BQ191" s="39"/>
      <c r="BR191" s="323"/>
      <c r="BS191" s="323"/>
      <c r="BT191" s="39"/>
      <c r="BW191" s="39"/>
      <c r="BX191" s="38"/>
    </row>
    <row r="192" spans="1:76" s="288" customFormat="1" ht="15" customHeight="1" x14ac:dyDescent="0.25">
      <c r="A192" s="72">
        <v>4</v>
      </c>
      <c r="B192" s="217" t="s">
        <v>98</v>
      </c>
      <c r="C192" s="304"/>
      <c r="D192" s="304"/>
      <c r="E192" s="355">
        <f>E194+E197+E200+E203+E206+E212+E209</f>
        <v>1002115</v>
      </c>
      <c r="F192" s="355">
        <f>F194+F197+F200+F203+F206+F212+F209</f>
        <v>1122368.8</v>
      </c>
      <c r="G192" s="357"/>
      <c r="H192" s="356">
        <f>H194</f>
        <v>613</v>
      </c>
      <c r="I192" s="355">
        <f>I194+I197+I200+I203+I206+I212+I209</f>
        <v>1002115</v>
      </c>
      <c r="J192" s="355">
        <f>J194+J197+J200+J203+J206+J212+J209</f>
        <v>1122368.8</v>
      </c>
      <c r="K192" s="311" t="s">
        <v>97</v>
      </c>
      <c r="L192" s="310"/>
      <c r="M192" s="354" t="s">
        <v>13</v>
      </c>
      <c r="N192" s="352">
        <f>N194+N197+N200+N203+N206+N212+N209</f>
        <v>763875185.27678573</v>
      </c>
      <c r="O192" s="352">
        <f>O194+O197+O200+O203+O206+O212+O209</f>
        <v>855540207.50999999</v>
      </c>
      <c r="P192" s="352">
        <f>P194+P197+P200+P203+P206+P212+P209</f>
        <v>763875185.27678573</v>
      </c>
      <c r="Q192" s="352">
        <f>Q194+Q197+Q200+Q203+Q206+Q212+Q209</f>
        <v>855540207.50999999</v>
      </c>
      <c r="R192" s="305"/>
      <c r="S192" s="297">
        <f>S194+S197+S200+S203+S206+S212+S209</f>
        <v>613</v>
      </c>
      <c r="T192" s="296"/>
      <c r="U192" s="296"/>
      <c r="V192" s="296"/>
      <c r="W192" s="296"/>
      <c r="X192" s="296"/>
      <c r="Y192" s="296"/>
      <c r="Z192" s="350"/>
      <c r="AA192" s="350"/>
      <c r="AB192" s="350"/>
      <c r="AC192" s="350"/>
      <c r="AD192" s="350"/>
      <c r="AE192" s="350"/>
      <c r="AF192" s="350"/>
      <c r="AG192" s="350"/>
      <c r="AH192" s="350"/>
      <c r="AI192" s="350">
        <f>AI194+AI197+AI200+AI203+AI206+AI212+AI209</f>
        <v>1002115</v>
      </c>
      <c r="AJ192" s="350">
        <f>AJ194+AJ197+AJ200+AJ203+AJ206+AJ212+AJ209</f>
        <v>1122368.8</v>
      </c>
      <c r="AK192" s="350">
        <f>AK194+AK197+AK200+AK203+AK206+AK212+AK209</f>
        <v>613</v>
      </c>
      <c r="AL192" s="350">
        <f>AL194+AL197+AL200+AL203+AL206+AL212+AL209</f>
        <v>670465</v>
      </c>
      <c r="AM192" s="350">
        <f>AM194+AM197+AM200+AM203+AM206+AM212+AM209</f>
        <v>750920.8</v>
      </c>
      <c r="AN192" s="350">
        <f>AN194+AN197+AN200+AN203+AN206+AN212+AN209</f>
        <v>613</v>
      </c>
      <c r="AO192" s="348">
        <f>AL192-AI192</f>
        <v>-331650</v>
      </c>
      <c r="AP192" s="348">
        <f>AM192-AJ192</f>
        <v>-371448</v>
      </c>
      <c r="AQ192" s="348">
        <f>AQ194+AQ197+AQ200+AQ203+AQ206+AQ212+AQ209</f>
        <v>0</v>
      </c>
      <c r="AR192" s="293">
        <f>IF(AI192=0,"",AL192/AI192)</f>
        <v>0.66904995933600431</v>
      </c>
      <c r="AS192" s="349">
        <f>AS194+AS197+AS200+AS203+AS206+AS212+AS209</f>
        <v>0</v>
      </c>
      <c r="AT192" s="349">
        <f>AT194+AT197+AT200+AT203+AT206+AT212+AT209</f>
        <v>0</v>
      </c>
      <c r="AU192" s="349">
        <f>AU194+AU197+AU200+AU203+AU206+AU212+AU209</f>
        <v>0</v>
      </c>
      <c r="AV192" s="348">
        <f>AV194+AV197+AV200+AV203+AV206+AV212+AV209</f>
        <v>1002115</v>
      </c>
      <c r="AW192" s="348">
        <f>AW194+AW197+AW200+AW203+AW206+AW212+AW209</f>
        <v>1122368.8</v>
      </c>
      <c r="AX192" s="348">
        <f>AX194+AX197+AX200+AX203+AX206+AX212+AX209</f>
        <v>613</v>
      </c>
      <c r="AY192" s="348">
        <f>AY194+AY197+AY200+AY203+AY206+AY212+AY209</f>
        <v>0</v>
      </c>
      <c r="AZ192" s="348">
        <f>AZ194+AZ197+AZ200+AZ203+AZ206+AZ212+AZ209</f>
        <v>-331650</v>
      </c>
      <c r="BA192" s="348">
        <f>BA194+BA197+BA200+BA203+BA206+BA212+BA209</f>
        <v>0</v>
      </c>
      <c r="BB192" s="348">
        <f>BB194+BB197+BB200+BB203+BB206+BB212+BB209</f>
        <v>0</v>
      </c>
      <c r="BC192" s="348">
        <f>BC194+BC197+BC200+BC203+BC206+BC212+BC209</f>
        <v>0</v>
      </c>
      <c r="BD192" s="348">
        <f>BD194+BD197+BD200+BD203+BD206+BD212+BD209</f>
        <v>0</v>
      </c>
      <c r="BE192" s="348">
        <f>BE194+BE197+BE200+BE203+BE206+BE212+BE209</f>
        <v>0</v>
      </c>
      <c r="BF192" s="348">
        <f>BF194+BF197+BF200+BF203+BF206+BF212+BF209</f>
        <v>0</v>
      </c>
      <c r="BG192" s="348">
        <f>BG194+BG197+BG200+BG203+BG206+BG212+BG209</f>
        <v>0</v>
      </c>
      <c r="BH192" s="348">
        <f>BH194+BH197+BH200+BH203+BH206+BH212+BH209</f>
        <v>0</v>
      </c>
      <c r="BI192" s="348">
        <f>BI194+BI197+BI200+BI203+BI206+BI212+BI209</f>
        <v>0</v>
      </c>
      <c r="BJ192" s="348">
        <f>BJ194+BJ197+BJ200+BJ203+BJ206+BJ212+BJ209</f>
        <v>0</v>
      </c>
      <c r="BK192" s="348">
        <f>BK194+BK197+BK200+BK203+BK206+BK212+BK209</f>
        <v>0</v>
      </c>
      <c r="BL192" s="348">
        <f>BL194+BL197+BL200+BL203+BL206+BL212+BL209</f>
        <v>0</v>
      </c>
      <c r="BM192" s="358" t="s">
        <v>82</v>
      </c>
      <c r="BN192" s="290"/>
      <c r="BO192" s="348">
        <f>BO194+BO197+BO200+BO203+BO206+BO212</f>
        <v>0</v>
      </c>
      <c r="BP192" s="348">
        <f>BP194+BP197+BP200+BP203+BP206+BP212</f>
        <v>0</v>
      </c>
      <c r="BQ192" s="348">
        <f>BQ194+BQ197+BQ200+BQ203+BQ206+BQ212</f>
        <v>0</v>
      </c>
      <c r="BR192" s="347"/>
      <c r="BS192" s="347"/>
      <c r="BT192" s="290"/>
      <c r="BW192" s="290"/>
      <c r="BX192" s="289"/>
    </row>
    <row r="193" spans="1:76" s="288" customFormat="1" x14ac:dyDescent="0.25">
      <c r="A193" s="200"/>
      <c r="B193" s="216"/>
      <c r="C193" s="304"/>
      <c r="D193" s="304"/>
      <c r="E193" s="355">
        <f>E195+E198+E201+E204+E207+E213+E210</f>
        <v>1002115</v>
      </c>
      <c r="F193" s="355">
        <f>F195+F198+F201+F204+F207+F213+F210</f>
        <v>1122368.8</v>
      </c>
      <c r="G193" s="357"/>
      <c r="H193" s="356"/>
      <c r="I193" s="355">
        <f>I195+I198+I201+I204+I207+I213+I210</f>
        <v>886047</v>
      </c>
      <c r="J193" s="355">
        <f>J195+J198+J201+J204+J207+J213+J210</f>
        <v>992372.64000000013</v>
      </c>
      <c r="K193" s="302"/>
      <c r="L193" s="301"/>
      <c r="M193" s="354"/>
      <c r="N193" s="352">
        <f>N195+N198+N201+N204+N207+N213+N210</f>
        <v>763875185.27678573</v>
      </c>
      <c r="O193" s="352">
        <f>O195+O198+O201+O204+O207+O213+O210</f>
        <v>855540207.50999999</v>
      </c>
      <c r="P193" s="352">
        <f>P195+P198+P201+P204+P207+P213+P210</f>
        <v>763875185.27678573</v>
      </c>
      <c r="Q193" s="352">
        <f>Q195+Q198+Q201+Q204+Q207+Q213+Q210</f>
        <v>855540207.50999999</v>
      </c>
      <c r="R193" s="305"/>
      <c r="S193" s="297"/>
      <c r="T193" s="296"/>
      <c r="U193" s="296"/>
      <c r="V193" s="296"/>
      <c r="W193" s="296"/>
      <c r="X193" s="296"/>
      <c r="Y193" s="295"/>
      <c r="Z193" s="350"/>
      <c r="AA193" s="350"/>
      <c r="AB193" s="350"/>
      <c r="AC193" s="350"/>
      <c r="AD193" s="350"/>
      <c r="AE193" s="350"/>
      <c r="AF193" s="350"/>
      <c r="AG193" s="350"/>
      <c r="AH193" s="350"/>
      <c r="AI193" s="350">
        <f>AI195+AI198+AI201+AI204+AI207+AI213+AI210</f>
        <v>886047</v>
      </c>
      <c r="AJ193" s="350">
        <f>AJ195+AJ198+AJ201+AJ204+AJ207+AJ213+AJ210</f>
        <v>992372.64000000013</v>
      </c>
      <c r="AK193" s="350"/>
      <c r="AL193" s="350">
        <f>AL195+AL198+AL201+AL204+AL207+AL213+AL210</f>
        <v>397376.82028571429</v>
      </c>
      <c r="AM193" s="350">
        <f>AM195+AM198+AM201+AM204+AM207+AM213+AM210</f>
        <v>445062.03872000001</v>
      </c>
      <c r="AN193" s="350"/>
      <c r="AO193" s="348">
        <f>AL193-AI193</f>
        <v>-488670.17971428571</v>
      </c>
      <c r="AP193" s="348">
        <f>AM193-AJ193</f>
        <v>-547310.60128000006</v>
      </c>
      <c r="AQ193" s="348"/>
      <c r="AR193" s="293">
        <f>IF(AI193=0,"",AL193/AI193)</f>
        <v>0.44848277832407796</v>
      </c>
      <c r="AS193" s="349">
        <f>AS195+AS198+AS201+AS204+AS207+AS213+AS210</f>
        <v>0</v>
      </c>
      <c r="AT193" s="349">
        <f>AT195+AT198+AT201+AT204+AT207+AT213+AT210</f>
        <v>397376.82028571429</v>
      </c>
      <c r="AU193" s="349">
        <f>AU195+AU198+AU201+AU204+AU207+AU213+AU210</f>
        <v>0</v>
      </c>
      <c r="AV193" s="348">
        <f>AV195+AV198+AV201+AV204+AV207+AV213+AV210</f>
        <v>1156710.1319821428</v>
      </c>
      <c r="AW193" s="348">
        <f>AW195+AW198+AW201+AW204+AW207+AW213+AW210</f>
        <v>1295515.34782</v>
      </c>
      <c r="AX193" s="348"/>
      <c r="AY193" s="348">
        <f>AY195+AY198+AY201+AY204+AY207+AY213+AY210</f>
        <v>0</v>
      </c>
      <c r="AZ193" s="348">
        <f>AZ195+AZ198+AZ201+AZ204+AZ207+AZ213+AZ210</f>
        <v>0</v>
      </c>
      <c r="BA193" s="348">
        <f>BA195+BA198+BA201+BA204+BA207+BA213+BA210</f>
        <v>0</v>
      </c>
      <c r="BB193" s="348">
        <f>BB195+BB198+BB201+BB204+BB207+BB213+BB210</f>
        <v>0</v>
      </c>
      <c r="BC193" s="348">
        <f>BC195+BC198+BC201+BC204+BC207+BC213+BC210</f>
        <v>0</v>
      </c>
      <c r="BD193" s="348">
        <f>BD195+BD198+BD201+BD204+BD207+BD213+BD210</f>
        <v>0</v>
      </c>
      <c r="BE193" s="348">
        <f>BE195+BE198+BE201+BE204+BE207+BE213+BE210</f>
        <v>0</v>
      </c>
      <c r="BF193" s="348">
        <f>BF195+BF198+BF201+BF204+BF207+BF213+BF210</f>
        <v>0</v>
      </c>
      <c r="BG193" s="348">
        <f>BG195+BG198+BG201+BG204+BG207+BG213+BG210</f>
        <v>0</v>
      </c>
      <c r="BH193" s="348">
        <f>BH195+BH198+BH201+BH204+BH207+BH213+BH210</f>
        <v>0</v>
      </c>
      <c r="BI193" s="348">
        <f>BI195+BI198+BI201+BI204+BI207+BI213+BI210</f>
        <v>0</v>
      </c>
      <c r="BJ193" s="348">
        <f>BJ195+BJ198+BJ201+BJ204+BJ207+BJ213+BJ210</f>
        <v>0</v>
      </c>
      <c r="BK193" s="348">
        <f>BK195+BK198+BK201+BK204+BK207+BK213+BK210</f>
        <v>0</v>
      </c>
      <c r="BL193" s="348">
        <f>BL195+BL198+BL201+BL204+BL207+BL213+BL210</f>
        <v>0</v>
      </c>
      <c r="BM193" s="290"/>
      <c r="BN193" s="290"/>
      <c r="BO193" s="348">
        <f>BO195+BO198+BO201+BO204+BO207+BO213</f>
        <v>0</v>
      </c>
      <c r="BP193" s="348">
        <f>BP195+BP198+BP201+BP204+BP207+BP213</f>
        <v>0</v>
      </c>
      <c r="BQ193" s="348">
        <f>BQ195+BQ198+BQ201+BQ204+BQ207+BQ213</f>
        <v>0</v>
      </c>
      <c r="BR193" s="347"/>
      <c r="BS193" s="347"/>
      <c r="BT193" s="290"/>
      <c r="BW193" s="290"/>
      <c r="BX193" s="289"/>
    </row>
    <row r="194" spans="1:76" s="201" customFormat="1" ht="12.75" customHeight="1" x14ac:dyDescent="0.25">
      <c r="A194" s="200"/>
      <c r="B194" s="216"/>
      <c r="C194" s="214" t="s">
        <v>9</v>
      </c>
      <c r="D194" s="214" t="s">
        <v>8</v>
      </c>
      <c r="E194" s="213">
        <v>1002115</v>
      </c>
      <c r="F194" s="213">
        <f>E194*1.12</f>
        <v>1122368.8</v>
      </c>
      <c r="G194" s="243">
        <v>1818</v>
      </c>
      <c r="H194" s="242">
        <v>613</v>
      </c>
      <c r="I194" s="212">
        <v>1002115</v>
      </c>
      <c r="J194" s="212">
        <f>I194*1.12</f>
        <v>1122368.8</v>
      </c>
      <c r="K194" s="238" t="s">
        <v>55</v>
      </c>
      <c r="L194" s="237" t="s">
        <v>92</v>
      </c>
      <c r="M194" s="268" t="s">
        <v>13</v>
      </c>
      <c r="N194" s="210">
        <f>P194</f>
        <v>93988545.749999985</v>
      </c>
      <c r="O194" s="210">
        <f>Q194</f>
        <v>105267171.23999999</v>
      </c>
      <c r="P194" s="210">
        <f>Q194/1.12</f>
        <v>93988545.749999985</v>
      </c>
      <c r="Q194" s="210">
        <v>105267171.23999999</v>
      </c>
      <c r="R194" s="73" t="s">
        <v>91</v>
      </c>
      <c r="S194" s="104">
        <v>75</v>
      </c>
      <c r="T194" s="47"/>
      <c r="U194" s="47"/>
      <c r="V194" s="47"/>
      <c r="W194" s="47"/>
      <c r="X194" s="47"/>
      <c r="Y194" s="47"/>
      <c r="Z194" s="206"/>
      <c r="AA194" s="206"/>
      <c r="AB194" s="206"/>
      <c r="AC194" s="206"/>
      <c r="AD194" s="206"/>
      <c r="AE194" s="206"/>
      <c r="AF194" s="206"/>
      <c r="AG194" s="206"/>
      <c r="AH194" s="206"/>
      <c r="AI194" s="206">
        <f>73565+116069+116069+116069+116069+116069+116069+116068+116068</f>
        <v>1002115</v>
      </c>
      <c r="AJ194" s="206">
        <f>AI194*1.12</f>
        <v>1122368.8</v>
      </c>
      <c r="AK194" s="206">
        <f>45+71+71+71+71+71+71+71+71</f>
        <v>613</v>
      </c>
      <c r="AL194" s="206">
        <f>51296+37321</f>
        <v>88617</v>
      </c>
      <c r="AM194" s="203">
        <f>AL194*1.12</f>
        <v>99251.040000000008</v>
      </c>
      <c r="AN194" s="206">
        <f>36+8+31</f>
        <v>75</v>
      </c>
      <c r="AO194" s="203">
        <f>AL194-$AI$194/$AK$194*AN194</f>
        <v>-33990.871125611753</v>
      </c>
      <c r="AP194" s="203">
        <f>AO194*1.12</f>
        <v>-38069.775660685169</v>
      </c>
      <c r="AQ194" s="213">
        <f>AN194-S194</f>
        <v>0</v>
      </c>
      <c r="AR194" s="205"/>
      <c r="AS194" s="204"/>
      <c r="AT194" s="204"/>
      <c r="AU194" s="204"/>
      <c r="AV194" s="203">
        <f>ROUND(P194/1000,0)</f>
        <v>93989</v>
      </c>
      <c r="AW194" s="203">
        <f>AV194*1.12</f>
        <v>105267.68000000001</v>
      </c>
      <c r="AX194" s="203">
        <f>S194</f>
        <v>75</v>
      </c>
      <c r="AY194" s="203"/>
      <c r="AZ194" s="203">
        <f>AL194-$AI$194/$AK$194*AN194</f>
        <v>-33990.871125611753</v>
      </c>
      <c r="BA194" s="203"/>
      <c r="BB194" s="203"/>
      <c r="BC194" s="203"/>
      <c r="BD194" s="203"/>
      <c r="BE194" s="203"/>
      <c r="BF194" s="203"/>
      <c r="BG194" s="203"/>
      <c r="BH194" s="203"/>
      <c r="BI194" s="203"/>
      <c r="BJ194" s="203"/>
      <c r="BK194" s="203"/>
      <c r="BL194" s="203">
        <f>$AI$194/$AK$194*AQ194</f>
        <v>0</v>
      </c>
      <c r="BM194" s="202"/>
      <c r="BN194" s="202"/>
      <c r="BO194" s="202"/>
      <c r="BP194" s="202"/>
      <c r="BQ194" s="202"/>
      <c r="BR194" s="202"/>
      <c r="BS194" s="202"/>
      <c r="BT194" s="202"/>
      <c r="BW194" s="202"/>
      <c r="BX194" s="314"/>
    </row>
    <row r="195" spans="1:76" s="57" customFormat="1" x14ac:dyDescent="0.25">
      <c r="A195" s="200"/>
      <c r="B195" s="216"/>
      <c r="C195" s="70" t="s">
        <v>6</v>
      </c>
      <c r="D195" s="70" t="s">
        <v>26</v>
      </c>
      <c r="E195" s="198">
        <f>E196</f>
        <v>1002115</v>
      </c>
      <c r="F195" s="198">
        <f>E195*1.12</f>
        <v>1122368.8</v>
      </c>
      <c r="G195" s="197"/>
      <c r="H195" s="196"/>
      <c r="I195" s="195">
        <f>I196</f>
        <v>886047</v>
      </c>
      <c r="J195" s="195">
        <f>I195*1.12</f>
        <v>992372.64000000013</v>
      </c>
      <c r="K195" s="236"/>
      <c r="L195" s="235"/>
      <c r="M195" s="268"/>
      <c r="N195" s="50">
        <f>P195</f>
        <v>93988545.749999985</v>
      </c>
      <c r="O195" s="50">
        <f>Q195</f>
        <v>105267171.23999999</v>
      </c>
      <c r="P195" s="51">
        <f>Q195/1.12</f>
        <v>93988545.749999985</v>
      </c>
      <c r="Q195" s="51">
        <f>Q194</f>
        <v>105267171.23999999</v>
      </c>
      <c r="R195" s="191"/>
      <c r="S195" s="104"/>
      <c r="T195" s="47"/>
      <c r="U195" s="47"/>
      <c r="V195" s="47"/>
      <c r="W195" s="47"/>
      <c r="X195" s="47"/>
      <c r="Y195" s="47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>
        <f>AI196</f>
        <v>886047</v>
      </c>
      <c r="AJ195" s="66">
        <f>AI195*1.12</f>
        <v>992372.64000000013</v>
      </c>
      <c r="AK195" s="66"/>
      <c r="AL195" s="127">
        <f>10703.09937/1.12+44981.36412/1.12+38855.58331/1.12</f>
        <v>84410.756071428565</v>
      </c>
      <c r="AM195" s="344">
        <f>AL195*1.12</f>
        <v>94540.046799999996</v>
      </c>
      <c r="AN195" s="343"/>
      <c r="AO195" s="64">
        <f>AL195-$AI$195/$AK$194*AN194+AQ194*$AI$195/$AK$194</f>
        <v>-23996.299393498019</v>
      </c>
      <c r="AP195" s="64">
        <f>AO195*1.12</f>
        <v>-26875.855320717783</v>
      </c>
      <c r="AQ195" s="62"/>
      <c r="AR195" s="189"/>
      <c r="AS195" s="115"/>
      <c r="AT195" s="115">
        <f>AL195</f>
        <v>84410.756071428565</v>
      </c>
      <c r="AU195" s="63"/>
      <c r="AV195" s="64">
        <f>ROUND(P195/1000,0)</f>
        <v>93989</v>
      </c>
      <c r="AW195" s="62">
        <f>AV195*1.12</f>
        <v>105267.68000000001</v>
      </c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59"/>
      <c r="BN195" s="59"/>
      <c r="BO195" s="59"/>
      <c r="BP195" s="59"/>
      <c r="BQ195" s="59"/>
      <c r="BR195" s="59"/>
      <c r="BS195" s="59"/>
      <c r="BT195" s="59"/>
      <c r="BU195" s="57">
        <v>20526140.170000002</v>
      </c>
      <c r="BW195" s="59"/>
      <c r="BX195" s="58"/>
    </row>
    <row r="196" spans="1:76" x14ac:dyDescent="0.25">
      <c r="A196" s="200"/>
      <c r="B196" s="216"/>
      <c r="C196" s="53" t="s">
        <v>6</v>
      </c>
      <c r="D196" s="53" t="s">
        <v>5</v>
      </c>
      <c r="E196" s="186">
        <f>E194</f>
        <v>1002115</v>
      </c>
      <c r="F196" s="186">
        <f>E196*1.12</f>
        <v>1122368.8</v>
      </c>
      <c r="G196" s="197"/>
      <c r="H196" s="196"/>
      <c r="I196" s="183">
        <v>886047</v>
      </c>
      <c r="J196" s="183">
        <f>J195</f>
        <v>992372.64000000013</v>
      </c>
      <c r="K196" s="234"/>
      <c r="L196" s="233"/>
      <c r="M196" s="268"/>
      <c r="N196" s="50">
        <f>P196</f>
        <v>93988545.749999985</v>
      </c>
      <c r="O196" s="50">
        <f>Q196</f>
        <v>105267171.23999999</v>
      </c>
      <c r="P196" s="50">
        <f>Q196/1.12</f>
        <v>93988545.749999985</v>
      </c>
      <c r="Q196" s="50">
        <f>Q195</f>
        <v>105267171.23999999</v>
      </c>
      <c r="R196" s="191"/>
      <c r="S196" s="104"/>
      <c r="T196" s="47"/>
      <c r="U196" s="47"/>
      <c r="V196" s="47"/>
      <c r="W196" s="47"/>
      <c r="X196" s="47"/>
      <c r="Y196" s="47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>
        <f>73565+116069+174104+174104-1+116069+116069+116068</f>
        <v>886047</v>
      </c>
      <c r="AJ196" s="46">
        <f>AI196*1.12</f>
        <v>992372.64000000013</v>
      </c>
      <c r="AK196" s="46"/>
      <c r="AL196" s="103">
        <f>AL195</f>
        <v>84410.756071428565</v>
      </c>
      <c r="AM196" s="341">
        <f>AL196*1.12</f>
        <v>94540.046799999996</v>
      </c>
      <c r="AN196" s="340"/>
      <c r="AO196" s="44">
        <f>AO195</f>
        <v>-23996.299393498019</v>
      </c>
      <c r="AP196" s="44">
        <f>AP195</f>
        <v>-26875.855320717783</v>
      </c>
      <c r="AQ196" s="41"/>
      <c r="AR196" s="178"/>
      <c r="AS196" s="101"/>
      <c r="AT196" s="101">
        <f>AL196</f>
        <v>84410.756071428565</v>
      </c>
      <c r="AU196" s="42"/>
      <c r="AV196" s="44">
        <f>AV195</f>
        <v>93989</v>
      </c>
      <c r="AW196" s="41">
        <f>AV196*1.12</f>
        <v>105267.68000000001</v>
      </c>
      <c r="AX196" s="41"/>
      <c r="AY196" s="41"/>
      <c r="AZ196" s="41"/>
      <c r="BA196" s="41"/>
      <c r="BB196" s="41"/>
      <c r="BC196" s="41"/>
      <c r="BD196" s="41"/>
      <c r="BE196" s="41"/>
      <c r="BF196" s="41"/>
      <c r="BG196" s="41"/>
      <c r="BH196" s="41"/>
      <c r="BI196" s="41"/>
      <c r="BJ196" s="41"/>
      <c r="BK196" s="41"/>
      <c r="BL196" s="41"/>
      <c r="BM196" s="39"/>
      <c r="BN196" s="39"/>
      <c r="BO196" s="39"/>
      <c r="BP196" s="39"/>
      <c r="BQ196" s="39"/>
      <c r="BR196" s="39"/>
      <c r="BS196" s="39"/>
      <c r="BT196" s="39"/>
      <c r="BW196" s="39"/>
      <c r="BX196" s="38"/>
    </row>
    <row r="197" spans="1:76" s="201" customFormat="1" ht="12.75" customHeight="1" collapsed="1" x14ac:dyDescent="0.25">
      <c r="A197" s="200"/>
      <c r="B197" s="216"/>
      <c r="C197" s="214" t="s">
        <v>9</v>
      </c>
      <c r="D197" s="214" t="s">
        <v>8</v>
      </c>
      <c r="E197" s="213"/>
      <c r="F197" s="213"/>
      <c r="G197" s="197"/>
      <c r="H197" s="196"/>
      <c r="I197" s="212"/>
      <c r="J197" s="212"/>
      <c r="K197" s="238" t="s">
        <v>34</v>
      </c>
      <c r="L197" s="237" t="s">
        <v>96</v>
      </c>
      <c r="M197" s="268" t="s">
        <v>13</v>
      </c>
      <c r="N197" s="210">
        <f>P197</f>
        <v>71431294.776785716</v>
      </c>
      <c r="O197" s="210">
        <f>Q197</f>
        <v>80003050.150000006</v>
      </c>
      <c r="P197" s="210">
        <f>Q197/1.12</f>
        <v>71431294.776785716</v>
      </c>
      <c r="Q197" s="210">
        <v>80003050.150000006</v>
      </c>
      <c r="R197" s="191"/>
      <c r="S197" s="104">
        <v>57</v>
      </c>
      <c r="T197" s="315"/>
      <c r="U197" s="315"/>
      <c r="V197" s="315"/>
      <c r="W197" s="315"/>
      <c r="X197" s="315"/>
      <c r="Y197" s="315"/>
      <c r="Z197" s="206"/>
      <c r="AA197" s="206"/>
      <c r="AB197" s="206"/>
      <c r="AC197" s="206"/>
      <c r="AD197" s="206"/>
      <c r="AE197" s="206"/>
      <c r="AF197" s="206"/>
      <c r="AG197" s="206"/>
      <c r="AH197" s="206"/>
      <c r="AI197" s="206"/>
      <c r="AJ197" s="206"/>
      <c r="AK197" s="206"/>
      <c r="AL197" s="206">
        <v>58050</v>
      </c>
      <c r="AM197" s="203">
        <f>AL197*1.12</f>
        <v>65016.000000000007</v>
      </c>
      <c r="AN197" s="206">
        <f>8+49</f>
        <v>57</v>
      </c>
      <c r="AO197" s="203">
        <f>AL197-$AI$194/$AK$194*AN197</f>
        <v>-35131.982055464934</v>
      </c>
      <c r="AP197" s="203">
        <f>AO197*1.12</f>
        <v>-39347.819902120733</v>
      </c>
      <c r="AQ197" s="203">
        <f>AN197-S197</f>
        <v>0</v>
      </c>
      <c r="AR197" s="205" t="str">
        <f>IF(AI197=0,"",AL197/AI197)</f>
        <v/>
      </c>
      <c r="AS197" s="204"/>
      <c r="AT197" s="204"/>
      <c r="AU197" s="204"/>
      <c r="AV197" s="203">
        <f>ROUND(P197/1000,0)</f>
        <v>71431</v>
      </c>
      <c r="AW197" s="203">
        <f>AV197*1.12</f>
        <v>80002.720000000001</v>
      </c>
      <c r="AX197" s="203">
        <f>S197</f>
        <v>57</v>
      </c>
      <c r="AY197" s="203">
        <f>$AI$194/$AK$194*AQ197</f>
        <v>0</v>
      </c>
      <c r="AZ197" s="203">
        <f>AL197-$AI$194/$AK$194*AN197</f>
        <v>-35131.982055464934</v>
      </c>
      <c r="BA197" s="203"/>
      <c r="BB197" s="203"/>
      <c r="BC197" s="203"/>
      <c r="BD197" s="203"/>
      <c r="BE197" s="203"/>
      <c r="BF197" s="203"/>
      <c r="BG197" s="203"/>
      <c r="BH197" s="203"/>
      <c r="BI197" s="203"/>
      <c r="BJ197" s="203"/>
      <c r="BK197" s="203"/>
      <c r="BL197" s="203"/>
      <c r="BM197" s="339"/>
      <c r="BN197" s="339"/>
      <c r="BO197" s="339"/>
      <c r="BP197" s="339"/>
      <c r="BQ197" s="339"/>
      <c r="BR197" s="339"/>
      <c r="BS197" s="339"/>
      <c r="BT197" s="339"/>
      <c r="BW197" s="202"/>
      <c r="BX197" s="314"/>
    </row>
    <row r="198" spans="1:76" s="327" customFormat="1" x14ac:dyDescent="0.25">
      <c r="A198" s="200"/>
      <c r="B198" s="216"/>
      <c r="C198" s="199" t="s">
        <v>6</v>
      </c>
      <c r="D198" s="199" t="s">
        <v>26</v>
      </c>
      <c r="E198" s="129"/>
      <c r="F198" s="129"/>
      <c r="G198" s="197"/>
      <c r="H198" s="196"/>
      <c r="I198" s="128"/>
      <c r="J198" s="128"/>
      <c r="K198" s="236"/>
      <c r="L198" s="235"/>
      <c r="M198" s="268"/>
      <c r="N198" s="50">
        <f>P198</f>
        <v>71431294.776785716</v>
      </c>
      <c r="O198" s="50">
        <f>Q198</f>
        <v>80003050.150000006</v>
      </c>
      <c r="P198" s="51">
        <f>Q198/1.12</f>
        <v>71431294.776785716</v>
      </c>
      <c r="Q198" s="51">
        <f>Q197</f>
        <v>80003050.150000006</v>
      </c>
      <c r="R198" s="191"/>
      <c r="S198" s="104"/>
      <c r="T198" s="312"/>
      <c r="U198" s="312"/>
      <c r="V198" s="312"/>
      <c r="W198" s="312"/>
      <c r="X198" s="312"/>
      <c r="Y198" s="312"/>
      <c r="Z198" s="117"/>
      <c r="AA198" s="117"/>
      <c r="AB198" s="117"/>
      <c r="AC198" s="117"/>
      <c r="AD198" s="117"/>
      <c r="AE198" s="117"/>
      <c r="AF198" s="117"/>
      <c r="AG198" s="117"/>
      <c r="AH198" s="117"/>
      <c r="AI198" s="117"/>
      <c r="AJ198" s="117"/>
      <c r="AK198" s="117"/>
      <c r="AL198" s="128">
        <f>AM198/1.12</f>
        <v>42772.362035714279</v>
      </c>
      <c r="AM198" s="361">
        <f>6218.63245+41686.41303</f>
        <v>47905.045480000001</v>
      </c>
      <c r="AN198" s="117"/>
      <c r="AO198" s="64">
        <f>AL198-$AI$195/$AK$194*AN197+AQ197*$AI$195/$AK$194</f>
        <v>-39617.000117629927</v>
      </c>
      <c r="AP198" s="64">
        <f>AO198*1.12</f>
        <v>-44371.040131745525</v>
      </c>
      <c r="AQ198" s="62"/>
      <c r="AR198" s="43" t="str">
        <f>IF(AI198=0,"",AL198/AI198)</f>
        <v/>
      </c>
      <c r="AS198" s="115"/>
      <c r="AT198" s="115">
        <f>AL198</f>
        <v>42772.362035714279</v>
      </c>
      <c r="AU198" s="115"/>
      <c r="AV198" s="64">
        <f>ROUND(P198/1000,0)</f>
        <v>71431</v>
      </c>
      <c r="AW198" s="62">
        <f>AV198*1.12</f>
        <v>80002.720000000001</v>
      </c>
      <c r="AX198" s="62"/>
      <c r="AY198" s="64"/>
      <c r="AZ198" s="64"/>
      <c r="BA198" s="64"/>
      <c r="BB198" s="64"/>
      <c r="BC198" s="64"/>
      <c r="BD198" s="64"/>
      <c r="BE198" s="64"/>
      <c r="BF198" s="62"/>
      <c r="BG198" s="64"/>
      <c r="BH198" s="64"/>
      <c r="BI198" s="64"/>
      <c r="BJ198" s="64"/>
      <c r="BK198" s="64"/>
      <c r="BL198" s="64"/>
      <c r="BM198" s="138"/>
      <c r="BN198" s="138"/>
      <c r="BO198" s="138"/>
      <c r="BP198" s="138"/>
      <c r="BQ198" s="138"/>
      <c r="BR198" s="138"/>
      <c r="BS198" s="138"/>
      <c r="BT198" s="138"/>
      <c r="BW198" s="329"/>
      <c r="BX198" s="328"/>
    </row>
    <row r="199" spans="1:76" s="320" customFormat="1" x14ac:dyDescent="0.25">
      <c r="A199" s="200"/>
      <c r="B199" s="216"/>
      <c r="C199" s="187" t="s">
        <v>6</v>
      </c>
      <c r="D199" s="187" t="s">
        <v>5</v>
      </c>
      <c r="E199" s="137"/>
      <c r="F199" s="137"/>
      <c r="G199" s="197"/>
      <c r="H199" s="196"/>
      <c r="I199" s="260"/>
      <c r="J199" s="260"/>
      <c r="K199" s="234"/>
      <c r="L199" s="233"/>
      <c r="M199" s="268"/>
      <c r="N199" s="50">
        <f>P199</f>
        <v>71431294.776785716</v>
      </c>
      <c r="O199" s="50">
        <f>Q199</f>
        <v>80003050.150000006</v>
      </c>
      <c r="P199" s="50">
        <f>Q199/1.12</f>
        <v>71431294.776785716</v>
      </c>
      <c r="Q199" s="50">
        <f>Q197</f>
        <v>80003050.150000006</v>
      </c>
      <c r="R199" s="191"/>
      <c r="S199" s="104"/>
      <c r="T199" s="312"/>
      <c r="U199" s="312"/>
      <c r="V199" s="312"/>
      <c r="W199" s="312"/>
      <c r="X199" s="312"/>
      <c r="Y199" s="312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>
        <f>AL198</f>
        <v>42772.362035714279</v>
      </c>
      <c r="AM199" s="44">
        <f>AM198</f>
        <v>47905.045480000001</v>
      </c>
      <c r="AN199" s="103"/>
      <c r="AO199" s="44">
        <f>AO198</f>
        <v>-39617.000117629927</v>
      </c>
      <c r="AP199" s="44">
        <f>AP198</f>
        <v>-44371.040131745525</v>
      </c>
      <c r="AQ199" s="41"/>
      <c r="AR199" s="324" t="str">
        <f>IF(AI199=0,"",AL199/AI199)</f>
        <v/>
      </c>
      <c r="AS199" s="101"/>
      <c r="AT199" s="101">
        <f>AL199</f>
        <v>42772.362035714279</v>
      </c>
      <c r="AU199" s="101"/>
      <c r="AV199" s="44">
        <f>AV198</f>
        <v>71431</v>
      </c>
      <c r="AW199" s="41">
        <f>AV199*1.12</f>
        <v>80002.720000000001</v>
      </c>
      <c r="AX199" s="41"/>
      <c r="AY199" s="64"/>
      <c r="AZ199" s="64"/>
      <c r="BA199" s="64"/>
      <c r="BB199" s="64"/>
      <c r="BC199" s="64"/>
      <c r="BD199" s="64"/>
      <c r="BE199" s="64"/>
      <c r="BF199" s="62"/>
      <c r="BG199" s="64"/>
      <c r="BH199" s="64"/>
      <c r="BI199" s="64"/>
      <c r="BJ199" s="64"/>
      <c r="BK199" s="64"/>
      <c r="BL199" s="64"/>
      <c r="BM199" s="138"/>
      <c r="BN199" s="138"/>
      <c r="BO199" s="138"/>
      <c r="BP199" s="138"/>
      <c r="BQ199" s="138"/>
      <c r="BR199" s="138"/>
      <c r="BS199" s="138"/>
      <c r="BT199" s="138"/>
      <c r="BW199" s="322"/>
      <c r="BX199" s="321"/>
    </row>
    <row r="200" spans="1:76" s="201" customFormat="1" ht="17.25" customHeight="1" x14ac:dyDescent="0.25">
      <c r="A200" s="200"/>
      <c r="B200" s="216"/>
      <c r="C200" s="214" t="s">
        <v>9</v>
      </c>
      <c r="D200" s="214" t="s">
        <v>8</v>
      </c>
      <c r="E200" s="213"/>
      <c r="F200" s="213">
        <f>E200*1.12</f>
        <v>0</v>
      </c>
      <c r="G200" s="197"/>
      <c r="H200" s="196"/>
      <c r="I200" s="212"/>
      <c r="J200" s="212"/>
      <c r="K200" s="337" t="s">
        <v>40</v>
      </c>
      <c r="L200" s="336" t="s">
        <v>90</v>
      </c>
      <c r="M200" s="268" t="s">
        <v>13</v>
      </c>
      <c r="N200" s="210">
        <f>P200</f>
        <v>62659030.499999993</v>
      </c>
      <c r="O200" s="210">
        <f>Q200</f>
        <v>70178114.159999996</v>
      </c>
      <c r="P200" s="210">
        <f>Q200/1.12</f>
        <v>62659030.499999993</v>
      </c>
      <c r="Q200" s="210">
        <v>70178114.159999996</v>
      </c>
      <c r="R200" s="191"/>
      <c r="S200" s="104">
        <v>50</v>
      </c>
      <c r="T200" s="315"/>
      <c r="U200" s="315"/>
      <c r="V200" s="315"/>
      <c r="W200" s="315"/>
      <c r="X200" s="315"/>
      <c r="Y200" s="315"/>
      <c r="Z200" s="206"/>
      <c r="AA200" s="206"/>
      <c r="AB200" s="206"/>
      <c r="AC200" s="206"/>
      <c r="AD200" s="206"/>
      <c r="AE200" s="206"/>
      <c r="AF200" s="206"/>
      <c r="AG200" s="206"/>
      <c r="AH200" s="206"/>
      <c r="AI200" s="206"/>
      <c r="AJ200" s="206"/>
      <c r="AK200" s="206"/>
      <c r="AL200" s="206">
        <v>40366</v>
      </c>
      <c r="AM200" s="203">
        <f>AL200*1.12</f>
        <v>45209.920000000006</v>
      </c>
      <c r="AN200" s="206">
        <f>50</f>
        <v>50</v>
      </c>
      <c r="AO200" s="203">
        <f>AL200-$AI$194/$AK$194*AN200</f>
        <v>-41372.58075040784</v>
      </c>
      <c r="AP200" s="203">
        <f>AO200*1.12</f>
        <v>-46337.290440456789</v>
      </c>
      <c r="AQ200" s="203">
        <f>AN200-S200</f>
        <v>0</v>
      </c>
      <c r="AR200" s="205" t="str">
        <f>IF(AI200=0,"",AL200/AI200)</f>
        <v/>
      </c>
      <c r="AS200" s="204"/>
      <c r="AT200" s="204"/>
      <c r="AU200" s="204"/>
      <c r="AV200" s="203">
        <f>ROUND(P200/1000,0)</f>
        <v>62659</v>
      </c>
      <c r="AW200" s="203">
        <f>AV200*1.12</f>
        <v>70178.080000000002</v>
      </c>
      <c r="AX200" s="203">
        <f>S200</f>
        <v>50</v>
      </c>
      <c r="AY200" s="203">
        <f>$AI$194/$AK$194*AQ200</f>
        <v>0</v>
      </c>
      <c r="AZ200" s="203">
        <f>AL200-$AI$194/$AK$194*AN200</f>
        <v>-41372.58075040784</v>
      </c>
      <c r="BA200" s="203"/>
      <c r="BB200" s="203"/>
      <c r="BC200" s="203"/>
      <c r="BD200" s="203"/>
      <c r="BE200" s="203"/>
      <c r="BF200" s="203"/>
      <c r="BG200" s="203"/>
      <c r="BH200" s="203"/>
      <c r="BI200" s="203"/>
      <c r="BJ200" s="203"/>
      <c r="BK200" s="203"/>
      <c r="BL200" s="203"/>
      <c r="BM200" s="334"/>
      <c r="BN200" s="334"/>
      <c r="BO200" s="202"/>
      <c r="BP200" s="202"/>
      <c r="BQ200" s="202"/>
      <c r="BR200" s="334"/>
      <c r="BS200" s="334"/>
      <c r="BT200" s="202"/>
      <c r="BW200" s="202"/>
      <c r="BX200" s="314"/>
    </row>
    <row r="201" spans="1:76" s="327" customFormat="1" ht="17.25" customHeight="1" x14ac:dyDescent="0.25">
      <c r="A201" s="200"/>
      <c r="B201" s="216"/>
      <c r="C201" s="199" t="s">
        <v>6</v>
      </c>
      <c r="D201" s="199" t="s">
        <v>26</v>
      </c>
      <c r="E201" s="129"/>
      <c r="F201" s="129">
        <f>E201*1.12</f>
        <v>0</v>
      </c>
      <c r="G201" s="197"/>
      <c r="H201" s="196"/>
      <c r="I201" s="128"/>
      <c r="J201" s="128"/>
      <c r="K201" s="337"/>
      <c r="L201" s="336"/>
      <c r="M201" s="268"/>
      <c r="N201" s="50">
        <f>P201</f>
        <v>62659030.499999993</v>
      </c>
      <c r="O201" s="50">
        <f>Q201</f>
        <v>70178114.159999996</v>
      </c>
      <c r="P201" s="51">
        <f>Q201/1.12</f>
        <v>62659030.499999993</v>
      </c>
      <c r="Q201" s="332">
        <f>Q200</f>
        <v>70178114.159999996</v>
      </c>
      <c r="R201" s="191"/>
      <c r="S201" s="104"/>
      <c r="T201" s="312"/>
      <c r="U201" s="312"/>
      <c r="V201" s="312"/>
      <c r="W201" s="312"/>
      <c r="X201" s="312"/>
      <c r="Y201" s="312"/>
      <c r="Z201" s="117"/>
      <c r="AA201" s="117"/>
      <c r="AB201" s="117"/>
      <c r="AC201" s="117"/>
      <c r="AD201" s="117"/>
      <c r="AE201" s="117"/>
      <c r="AF201" s="117"/>
      <c r="AG201" s="117"/>
      <c r="AH201" s="117"/>
      <c r="AI201" s="117"/>
      <c r="AJ201" s="117"/>
      <c r="AK201" s="117"/>
      <c r="AL201" s="117">
        <f>45108.38472/1.12</f>
        <v>40275.343499999995</v>
      </c>
      <c r="AM201" s="64">
        <f>AL201*1.12</f>
        <v>45108.384720000002</v>
      </c>
      <c r="AN201" s="117"/>
      <c r="AO201" s="64">
        <f>AL201-$AI$195/$AK$194*AN200+AQ200*$AI$195/$AK$194</f>
        <v>-31996.026809951065</v>
      </c>
      <c r="AP201" s="64">
        <f>AO201*1.12</f>
        <v>-35835.550027145197</v>
      </c>
      <c r="AQ201" s="62"/>
      <c r="AR201" s="43" t="str">
        <f>IF(AI201=0,"",AL201/AI201)</f>
        <v/>
      </c>
      <c r="AS201" s="115"/>
      <c r="AT201" s="115">
        <f>AL201</f>
        <v>40275.343499999995</v>
      </c>
      <c r="AU201" s="115"/>
      <c r="AV201" s="64">
        <f>ROUND(P201/1000,0)</f>
        <v>62659</v>
      </c>
      <c r="AW201" s="62">
        <f>AV201*1.12</f>
        <v>70178.080000000002</v>
      </c>
      <c r="AX201" s="62"/>
      <c r="AY201" s="64"/>
      <c r="AZ201" s="64"/>
      <c r="BA201" s="64"/>
      <c r="BB201" s="64"/>
      <c r="BC201" s="64"/>
      <c r="BD201" s="64"/>
      <c r="BE201" s="64"/>
      <c r="BF201" s="62"/>
      <c r="BG201" s="64"/>
      <c r="BH201" s="64"/>
      <c r="BI201" s="64"/>
      <c r="BJ201" s="64"/>
      <c r="BK201" s="64"/>
      <c r="BL201" s="64"/>
      <c r="BM201" s="330"/>
      <c r="BN201" s="330"/>
      <c r="BO201" s="329"/>
      <c r="BP201" s="329"/>
      <c r="BQ201" s="329"/>
      <c r="BR201" s="330"/>
      <c r="BS201" s="330"/>
      <c r="BT201" s="329"/>
      <c r="BW201" s="329"/>
      <c r="BX201" s="328"/>
    </row>
    <row r="202" spans="1:76" s="320" customFormat="1" ht="17.25" customHeight="1" x14ac:dyDescent="0.25">
      <c r="A202" s="200"/>
      <c r="B202" s="216"/>
      <c r="C202" s="187" t="s">
        <v>6</v>
      </c>
      <c r="D202" s="187" t="s">
        <v>5</v>
      </c>
      <c r="E202" s="137"/>
      <c r="F202" s="137">
        <f>E202*1.12</f>
        <v>0</v>
      </c>
      <c r="G202" s="197"/>
      <c r="H202" s="196"/>
      <c r="I202" s="260"/>
      <c r="J202" s="260"/>
      <c r="K202" s="337"/>
      <c r="L202" s="336"/>
      <c r="M202" s="268"/>
      <c r="N202" s="50">
        <f>P202</f>
        <v>62659030.499999993</v>
      </c>
      <c r="O202" s="50">
        <f>Q202</f>
        <v>70178114.159999996</v>
      </c>
      <c r="P202" s="50">
        <f>Q202/1.12</f>
        <v>62659030.499999993</v>
      </c>
      <c r="Q202" s="325">
        <f>Q201</f>
        <v>70178114.159999996</v>
      </c>
      <c r="R202" s="56"/>
      <c r="S202" s="104"/>
      <c r="T202" s="312"/>
      <c r="U202" s="312"/>
      <c r="V202" s="312"/>
      <c r="W202" s="312"/>
      <c r="X202" s="312"/>
      <c r="Y202" s="312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>
        <f>AL201</f>
        <v>40275.343499999995</v>
      </c>
      <c r="AM202" s="44">
        <f>AM201</f>
        <v>45108.384720000002</v>
      </c>
      <c r="AN202" s="103"/>
      <c r="AO202" s="44">
        <f>AO201</f>
        <v>-31996.026809951065</v>
      </c>
      <c r="AP202" s="44">
        <f>AP201</f>
        <v>-35835.550027145197</v>
      </c>
      <c r="AQ202" s="41"/>
      <c r="AR202" s="324" t="str">
        <f>IF(AI202=0,"",AL202/AI202)</f>
        <v/>
      </c>
      <c r="AS202" s="101"/>
      <c r="AT202" s="101">
        <f>AL202</f>
        <v>40275.343499999995</v>
      </c>
      <c r="AU202" s="101"/>
      <c r="AV202" s="44">
        <f>AV201</f>
        <v>62659</v>
      </c>
      <c r="AW202" s="41">
        <f>AV202*1.12</f>
        <v>70178.080000000002</v>
      </c>
      <c r="AX202" s="41"/>
      <c r="AY202" s="44"/>
      <c r="AZ202" s="44"/>
      <c r="BA202" s="44"/>
      <c r="BB202" s="44"/>
      <c r="BC202" s="44"/>
      <c r="BD202" s="44"/>
      <c r="BE202" s="44"/>
      <c r="BF202" s="41"/>
      <c r="BG202" s="44"/>
      <c r="BH202" s="44"/>
      <c r="BI202" s="44"/>
      <c r="BJ202" s="44"/>
      <c r="BK202" s="44"/>
      <c r="BL202" s="44"/>
      <c r="BM202" s="323"/>
      <c r="BN202" s="323"/>
      <c r="BO202" s="322"/>
      <c r="BP202" s="322"/>
      <c r="BQ202" s="322"/>
      <c r="BR202" s="323"/>
      <c r="BS202" s="323"/>
      <c r="BT202" s="322"/>
      <c r="BW202" s="322"/>
      <c r="BX202" s="321"/>
    </row>
    <row r="203" spans="1:76" s="201" customFormat="1" x14ac:dyDescent="0.25">
      <c r="A203" s="200"/>
      <c r="B203" s="216"/>
      <c r="C203" s="214" t="s">
        <v>9</v>
      </c>
      <c r="D203" s="214" t="s">
        <v>8</v>
      </c>
      <c r="E203" s="213"/>
      <c r="F203" s="213"/>
      <c r="G203" s="197"/>
      <c r="H203" s="196"/>
      <c r="I203" s="212"/>
      <c r="J203" s="212"/>
      <c r="K203" s="118" t="s">
        <v>55</v>
      </c>
      <c r="L203" s="335" t="s">
        <v>89</v>
      </c>
      <c r="M203" s="211" t="s">
        <v>13</v>
      </c>
      <c r="N203" s="210">
        <f>P203</f>
        <v>194241999.99999997</v>
      </c>
      <c r="O203" s="210">
        <f>Q203</f>
        <v>217551040</v>
      </c>
      <c r="P203" s="210">
        <f>Q203/1.12</f>
        <v>194241999.99999997</v>
      </c>
      <c r="Q203" s="210">
        <v>217551040</v>
      </c>
      <c r="R203" s="113" t="s">
        <v>32</v>
      </c>
      <c r="S203" s="313">
        <v>155</v>
      </c>
      <c r="T203" s="315"/>
      <c r="U203" s="315"/>
      <c r="V203" s="315"/>
      <c r="W203" s="315"/>
      <c r="X203" s="315"/>
      <c r="Y203" s="315"/>
      <c r="Z203" s="206"/>
      <c r="AA203" s="206"/>
      <c r="AB203" s="206"/>
      <c r="AC203" s="206"/>
      <c r="AD203" s="206"/>
      <c r="AE203" s="206"/>
      <c r="AF203" s="206"/>
      <c r="AG203" s="206"/>
      <c r="AH203" s="206"/>
      <c r="AI203" s="206"/>
      <c r="AJ203" s="206"/>
      <c r="AK203" s="206"/>
      <c r="AL203" s="206">
        <v>195018</v>
      </c>
      <c r="AM203" s="203">
        <f>AL203*1.12</f>
        <v>218420.16000000003</v>
      </c>
      <c r="AN203" s="206">
        <f>18+55+67+15</f>
        <v>155</v>
      </c>
      <c r="AO203" s="203">
        <f>AL203-$AI$194/$AK$194*AN203+AQ203*$AI$194/$AK$194</f>
        <v>-58371.600326264277</v>
      </c>
      <c r="AP203" s="203">
        <f>AO203*1.12</f>
        <v>-65376.192365415998</v>
      </c>
      <c r="AQ203" s="203">
        <f>AN203-S203</f>
        <v>0</v>
      </c>
      <c r="AR203" s="205" t="str">
        <f>IF(AI203=0,"",AL203/AI203)</f>
        <v/>
      </c>
      <c r="AS203" s="204"/>
      <c r="AT203" s="204"/>
      <c r="AU203" s="204"/>
      <c r="AV203" s="203">
        <f>E194-AV194-AV197-AV200</f>
        <v>774036</v>
      </c>
      <c r="AW203" s="203">
        <f>AV203*1.12</f>
        <v>866920.32000000007</v>
      </c>
      <c r="AX203" s="203">
        <f>H194-AX194-AX197-AX200</f>
        <v>431</v>
      </c>
      <c r="AY203" s="203">
        <f>$AI$194/$AK$194*AQ203</f>
        <v>0</v>
      </c>
      <c r="AZ203" s="203">
        <f>AL203-$AI$194/$AK$194*AN203</f>
        <v>-58371.600326264277</v>
      </c>
      <c r="BA203" s="203"/>
      <c r="BB203" s="203"/>
      <c r="BC203" s="203"/>
      <c r="BD203" s="203"/>
      <c r="BE203" s="203"/>
      <c r="BF203" s="203"/>
      <c r="BG203" s="203"/>
      <c r="BH203" s="203"/>
      <c r="BI203" s="203"/>
      <c r="BJ203" s="203"/>
      <c r="BK203" s="203"/>
      <c r="BL203" s="203"/>
      <c r="BM203" s="202"/>
      <c r="BN203" s="202"/>
      <c r="BO203" s="202"/>
      <c r="BP203" s="202"/>
      <c r="BQ203" s="202"/>
      <c r="BR203" s="202"/>
      <c r="BS203" s="202"/>
      <c r="BT203" s="202"/>
      <c r="BW203" s="202"/>
      <c r="BX203" s="314"/>
    </row>
    <row r="204" spans="1:76" s="57" customFormat="1" x14ac:dyDescent="0.25">
      <c r="A204" s="200"/>
      <c r="B204" s="216"/>
      <c r="C204" s="199" t="s">
        <v>6</v>
      </c>
      <c r="D204" s="199" t="s">
        <v>26</v>
      </c>
      <c r="E204" s="198"/>
      <c r="F204" s="198"/>
      <c r="G204" s="197"/>
      <c r="H204" s="196"/>
      <c r="I204" s="195"/>
      <c r="J204" s="195"/>
      <c r="K204" s="194"/>
      <c r="L204" s="333"/>
      <c r="M204" s="193"/>
      <c r="N204" s="50">
        <f>P204</f>
        <v>194241999.99999997</v>
      </c>
      <c r="O204" s="50">
        <f>Q204</f>
        <v>217551040</v>
      </c>
      <c r="P204" s="51">
        <f>Q204/1.12</f>
        <v>194241999.99999997</v>
      </c>
      <c r="Q204" s="51">
        <f>Q203</f>
        <v>217551040</v>
      </c>
      <c r="R204" s="113"/>
      <c r="S204" s="313"/>
      <c r="T204" s="47"/>
      <c r="U204" s="47"/>
      <c r="V204" s="47"/>
      <c r="W204" s="47"/>
      <c r="X204" s="47"/>
      <c r="Y204" s="47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360">
        <f>6479.08242/1.12+14040.75379/1.12+2857.41792/1.12+60984.75977/1.12</f>
        <v>75323.226696428566</v>
      </c>
      <c r="AM204" s="64">
        <f>AL204*1.12</f>
        <v>84362.013900000005</v>
      </c>
      <c r="AN204" s="66"/>
      <c r="AO204" s="64">
        <f>AL204-$AI$195/$AK$194*AN203+AQ203*$AI$195/$AK$194</f>
        <v>-148718.02126441972</v>
      </c>
      <c r="AP204" s="64">
        <f>AO204*1.12</f>
        <v>-166564.18381615009</v>
      </c>
      <c r="AQ204" s="62"/>
      <c r="AR204" s="189" t="str">
        <f>IF(AI204=0,"",AL204/AI204)</f>
        <v/>
      </c>
      <c r="AS204" s="115"/>
      <c r="AT204" s="115">
        <f>AL204</f>
        <v>75323.226696428566</v>
      </c>
      <c r="AU204" s="63"/>
      <c r="AV204" s="64">
        <f>E195-AV195-AV198-AV201</f>
        <v>774036</v>
      </c>
      <c r="AW204" s="62">
        <f>AV204*1.12</f>
        <v>866920.32000000007</v>
      </c>
      <c r="AX204" s="62"/>
      <c r="AY204" s="62"/>
      <c r="AZ204" s="62"/>
      <c r="BA204" s="62"/>
      <c r="BB204" s="62"/>
      <c r="BC204" s="62"/>
      <c r="BD204" s="62"/>
      <c r="BE204" s="62"/>
      <c r="BF204" s="62"/>
      <c r="BG204" s="62"/>
      <c r="BH204" s="62"/>
      <c r="BI204" s="62"/>
      <c r="BJ204" s="62"/>
      <c r="BK204" s="62"/>
      <c r="BL204" s="62"/>
      <c r="BM204" s="59"/>
      <c r="BN204" s="59"/>
      <c r="BO204" s="59"/>
      <c r="BP204" s="59"/>
      <c r="BQ204" s="59"/>
      <c r="BR204" s="59"/>
      <c r="BS204" s="59"/>
      <c r="BT204" s="59"/>
      <c r="BU204" s="57">
        <v>31030466.559999999</v>
      </c>
      <c r="BW204" s="59"/>
      <c r="BX204" s="58"/>
    </row>
    <row r="205" spans="1:76" x14ac:dyDescent="0.25">
      <c r="A205" s="200"/>
      <c r="B205" s="216"/>
      <c r="C205" s="187" t="s">
        <v>6</v>
      </c>
      <c r="D205" s="187" t="s">
        <v>5</v>
      </c>
      <c r="E205" s="186"/>
      <c r="F205" s="186"/>
      <c r="G205" s="197"/>
      <c r="H205" s="196"/>
      <c r="I205" s="183"/>
      <c r="J205" s="183"/>
      <c r="K205" s="105"/>
      <c r="L205" s="326"/>
      <c r="M205" s="181"/>
      <c r="N205" s="50">
        <f>P205</f>
        <v>194241999.99999997</v>
      </c>
      <c r="O205" s="50">
        <f>Q205</f>
        <v>217551040</v>
      </c>
      <c r="P205" s="50">
        <f>Q205/1.12</f>
        <v>194241999.99999997</v>
      </c>
      <c r="Q205" s="180">
        <f>Q204</f>
        <v>217551040</v>
      </c>
      <c r="R205" s="113"/>
      <c r="S205" s="313"/>
      <c r="T205" s="47"/>
      <c r="U205" s="47"/>
      <c r="V205" s="47"/>
      <c r="W205" s="47"/>
      <c r="X205" s="47"/>
      <c r="Y205" s="47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103">
        <f>AL204</f>
        <v>75323.226696428566</v>
      </c>
      <c r="AM205" s="44">
        <f>AL205*1.12</f>
        <v>84362.013900000005</v>
      </c>
      <c r="AN205" s="46"/>
      <c r="AO205" s="44">
        <f>AO204</f>
        <v>-148718.02126441972</v>
      </c>
      <c r="AP205" s="44">
        <f>AP204</f>
        <v>-166564.18381615009</v>
      </c>
      <c r="AQ205" s="41"/>
      <c r="AR205" s="178" t="str">
        <f>IF(AI205=0,"",AL205/AI205)</f>
        <v/>
      </c>
      <c r="AS205" s="101"/>
      <c r="AT205" s="101">
        <f>AL205</f>
        <v>75323.226696428566</v>
      </c>
      <c r="AU205" s="42"/>
      <c r="AV205" s="44">
        <f>AV204</f>
        <v>774036</v>
      </c>
      <c r="AW205" s="41">
        <f>AV205*1.12</f>
        <v>866920.32000000007</v>
      </c>
      <c r="AX205" s="41"/>
      <c r="AY205" s="41"/>
      <c r="AZ205" s="41"/>
      <c r="BA205" s="41"/>
      <c r="BB205" s="41"/>
      <c r="BC205" s="41"/>
      <c r="BD205" s="41"/>
      <c r="BE205" s="41"/>
      <c r="BF205" s="41"/>
      <c r="BG205" s="41"/>
      <c r="BH205" s="41"/>
      <c r="BI205" s="41"/>
      <c r="BJ205" s="41"/>
      <c r="BK205" s="41"/>
      <c r="BL205" s="41"/>
      <c r="BM205" s="39"/>
      <c r="BN205" s="39"/>
      <c r="BO205" s="39"/>
      <c r="BP205" s="39"/>
      <c r="BQ205" s="39"/>
      <c r="BR205" s="39"/>
      <c r="BS205" s="39"/>
      <c r="BT205" s="39"/>
      <c r="BW205" s="39"/>
      <c r="BX205" s="38"/>
    </row>
    <row r="206" spans="1:76" s="201" customFormat="1" x14ac:dyDescent="0.25">
      <c r="A206" s="200"/>
      <c r="B206" s="216"/>
      <c r="C206" s="214" t="s">
        <v>9</v>
      </c>
      <c r="D206" s="214" t="s">
        <v>8</v>
      </c>
      <c r="E206" s="213"/>
      <c r="F206" s="213"/>
      <c r="G206" s="197"/>
      <c r="H206" s="196"/>
      <c r="I206" s="212"/>
      <c r="J206" s="212"/>
      <c r="K206" s="118" t="s">
        <v>34</v>
      </c>
      <c r="L206" s="224" t="s">
        <v>88</v>
      </c>
      <c r="M206" s="268" t="s">
        <v>13</v>
      </c>
      <c r="N206" s="210">
        <f>P206</f>
        <v>139792297.03571427</v>
      </c>
      <c r="O206" s="210">
        <f>Q206</f>
        <v>156567372.68000001</v>
      </c>
      <c r="P206" s="210">
        <f>Q206/1.12</f>
        <v>139792297.03571427</v>
      </c>
      <c r="Q206" s="210">
        <v>156567372.68000001</v>
      </c>
      <c r="R206" s="113" t="s">
        <v>32</v>
      </c>
      <c r="S206" s="104">
        <v>115</v>
      </c>
      <c r="T206" s="315"/>
      <c r="U206" s="315"/>
      <c r="V206" s="315"/>
      <c r="W206" s="315"/>
      <c r="X206" s="315"/>
      <c r="Y206" s="315"/>
      <c r="Z206" s="206"/>
      <c r="AA206" s="206"/>
      <c r="AB206" s="206"/>
      <c r="AC206" s="206"/>
      <c r="AD206" s="206"/>
      <c r="AE206" s="206"/>
      <c r="AF206" s="206"/>
      <c r="AG206" s="206"/>
      <c r="AH206" s="206"/>
      <c r="AI206" s="206"/>
      <c r="AJ206" s="206"/>
      <c r="AK206" s="206"/>
      <c r="AL206" s="206">
        <f>66680+38831</f>
        <v>105511</v>
      </c>
      <c r="AM206" s="203">
        <f>AL206*1.12</f>
        <v>118172.32</v>
      </c>
      <c r="AN206" s="206">
        <f>22+3+16+15+12+20+17+10</f>
        <v>115</v>
      </c>
      <c r="AO206" s="203">
        <f>AL206-$AI$194/$AK$194*AN206+AQ206*$AI$194/$AK$194</f>
        <v>-82487.735725938022</v>
      </c>
      <c r="AP206" s="203">
        <f>AO206*1.12</f>
        <v>-92386.26401305059</v>
      </c>
      <c r="AQ206" s="203">
        <f>AN206-S206</f>
        <v>0</v>
      </c>
      <c r="AR206" s="205" t="str">
        <f>IF(AI206=0,"",AL206/AI206)</f>
        <v/>
      </c>
      <c r="AS206" s="204"/>
      <c r="AT206" s="204"/>
      <c r="AU206" s="204"/>
      <c r="AV206" s="203"/>
      <c r="AW206" s="203">
        <f>AV206*1.12</f>
        <v>0</v>
      </c>
      <c r="AX206" s="203"/>
      <c r="AY206" s="203">
        <f>$AI$194/$AK$194*AQ206</f>
        <v>0</v>
      </c>
      <c r="AZ206" s="203">
        <f>AL206-$AI$194/$AK$194*AN206</f>
        <v>-82487.735725938022</v>
      </c>
      <c r="BA206" s="203"/>
      <c r="BB206" s="203"/>
      <c r="BC206" s="203"/>
      <c r="BD206" s="203"/>
      <c r="BE206" s="203"/>
      <c r="BF206" s="203"/>
      <c r="BG206" s="203"/>
      <c r="BH206" s="203"/>
      <c r="BI206" s="203"/>
      <c r="BJ206" s="203"/>
      <c r="BK206" s="203"/>
      <c r="BL206" s="203"/>
      <c r="BM206" s="202"/>
      <c r="BN206" s="202"/>
      <c r="BO206" s="202"/>
      <c r="BP206" s="202"/>
      <c r="BQ206" s="202"/>
      <c r="BR206" s="202"/>
      <c r="BS206" s="202"/>
      <c r="BT206" s="202"/>
      <c r="BW206" s="202"/>
      <c r="BX206" s="314"/>
    </row>
    <row r="207" spans="1:76" s="57" customFormat="1" x14ac:dyDescent="0.25">
      <c r="A207" s="200"/>
      <c r="B207" s="216"/>
      <c r="C207" s="70" t="s">
        <v>6</v>
      </c>
      <c r="D207" s="199" t="s">
        <v>26</v>
      </c>
      <c r="E207" s="198"/>
      <c r="F207" s="198"/>
      <c r="G207" s="197"/>
      <c r="H207" s="196"/>
      <c r="I207" s="195"/>
      <c r="J207" s="195"/>
      <c r="K207" s="194"/>
      <c r="L207" s="222"/>
      <c r="M207" s="268"/>
      <c r="N207" s="50">
        <f>P207</f>
        <v>139792297.03571427</v>
      </c>
      <c r="O207" s="50">
        <f>Q207</f>
        <v>156567372.68000001</v>
      </c>
      <c r="P207" s="51">
        <f>Q207/1.12</f>
        <v>139792297.03571427</v>
      </c>
      <c r="Q207" s="51">
        <f>Q206</f>
        <v>156567372.68000001</v>
      </c>
      <c r="R207" s="113"/>
      <c r="S207" s="104"/>
      <c r="T207" s="47"/>
      <c r="U207" s="47"/>
      <c r="V207" s="47"/>
      <c r="W207" s="47"/>
      <c r="X207" s="47"/>
      <c r="Y207" s="47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317">
        <f>20981.72636/1.12+25777.33842/1.12</f>
        <v>41749.164982142858</v>
      </c>
      <c r="AM207" s="64">
        <f>AL207*1.12</f>
        <v>46759.064780000008</v>
      </c>
      <c r="AN207" s="66"/>
      <c r="AO207" s="64">
        <f>AL207-$AI$195/$AK$194*AN206+AQ206*$AI$195/$AK$194</f>
        <v>-124474.98673074457</v>
      </c>
      <c r="AP207" s="64">
        <f>AO207*1.12</f>
        <v>-139411.98513843393</v>
      </c>
      <c r="AQ207" s="62"/>
      <c r="AR207" s="189" t="str">
        <f>IF(AI207=0,"",AL207/AI207)</f>
        <v/>
      </c>
      <c r="AS207" s="115"/>
      <c r="AT207" s="115">
        <f>AL207</f>
        <v>41749.164982142858</v>
      </c>
      <c r="AU207" s="63"/>
      <c r="AV207" s="64">
        <f>AL207</f>
        <v>41749.164982142858</v>
      </c>
      <c r="AW207" s="64">
        <f>AV207*1.12</f>
        <v>46759.064780000008</v>
      </c>
      <c r="AX207" s="62"/>
      <c r="AY207" s="62"/>
      <c r="AZ207" s="62"/>
      <c r="BA207" s="62"/>
      <c r="BB207" s="62"/>
      <c r="BC207" s="62"/>
      <c r="BD207" s="62"/>
      <c r="BE207" s="62"/>
      <c r="BF207" s="62"/>
      <c r="BG207" s="62"/>
      <c r="BH207" s="62"/>
      <c r="BI207" s="62"/>
      <c r="BJ207" s="62"/>
      <c r="BK207" s="62"/>
      <c r="BL207" s="62"/>
      <c r="BM207" s="59"/>
      <c r="BN207" s="59"/>
      <c r="BO207" s="59"/>
      <c r="BP207" s="59"/>
      <c r="BQ207" s="59"/>
      <c r="BR207" s="59"/>
      <c r="BS207" s="59"/>
      <c r="BT207" s="59"/>
      <c r="BU207" s="57">
        <v>16411374.199999999</v>
      </c>
      <c r="BW207" s="59"/>
      <c r="BX207" s="58"/>
    </row>
    <row r="208" spans="1:76" x14ac:dyDescent="0.25">
      <c r="A208" s="200"/>
      <c r="B208" s="216"/>
      <c r="C208" s="53" t="s">
        <v>6</v>
      </c>
      <c r="D208" s="187" t="s">
        <v>5</v>
      </c>
      <c r="E208" s="186"/>
      <c r="F208" s="186"/>
      <c r="G208" s="197"/>
      <c r="H208" s="196"/>
      <c r="I208" s="183"/>
      <c r="J208" s="183"/>
      <c r="K208" s="105"/>
      <c r="L208" s="220"/>
      <c r="M208" s="268"/>
      <c r="N208" s="50">
        <f>P208</f>
        <v>139792297.03571427</v>
      </c>
      <c r="O208" s="50">
        <f>Q208</f>
        <v>156567372.68000001</v>
      </c>
      <c r="P208" s="50">
        <f>Q208/1.12</f>
        <v>139792297.03571427</v>
      </c>
      <c r="Q208" s="50">
        <f>Q207</f>
        <v>156567372.68000001</v>
      </c>
      <c r="R208" s="113"/>
      <c r="S208" s="104"/>
      <c r="T208" s="47"/>
      <c r="U208" s="47"/>
      <c r="V208" s="47"/>
      <c r="W208" s="47"/>
      <c r="X208" s="47"/>
      <c r="Y208" s="47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103">
        <f>AL207</f>
        <v>41749.164982142858</v>
      </c>
      <c r="AM208" s="44">
        <f>AL208*1.12</f>
        <v>46759.064780000008</v>
      </c>
      <c r="AN208" s="46"/>
      <c r="AO208" s="44">
        <f>AO207</f>
        <v>-124474.98673074457</v>
      </c>
      <c r="AP208" s="44">
        <f>AP207</f>
        <v>-139411.98513843393</v>
      </c>
      <c r="AQ208" s="41"/>
      <c r="AR208" s="178" t="str">
        <f>IF(AI208=0,"",AL208/AI208)</f>
        <v/>
      </c>
      <c r="AS208" s="101"/>
      <c r="AT208" s="101">
        <f>AL208</f>
        <v>41749.164982142858</v>
      </c>
      <c r="AU208" s="42"/>
      <c r="AV208" s="44">
        <f>AL208</f>
        <v>41749.164982142858</v>
      </c>
      <c r="AW208" s="44">
        <f>AV208*1.12</f>
        <v>46759.064780000008</v>
      </c>
      <c r="AX208" s="41"/>
      <c r="AY208" s="41"/>
      <c r="AZ208" s="41"/>
      <c r="BA208" s="41"/>
      <c r="BB208" s="41"/>
      <c r="BC208" s="41"/>
      <c r="BD208" s="41"/>
      <c r="BE208" s="41"/>
      <c r="BF208" s="41"/>
      <c r="BG208" s="41"/>
      <c r="BH208" s="41"/>
      <c r="BI208" s="41"/>
      <c r="BJ208" s="41"/>
      <c r="BK208" s="41"/>
      <c r="BL208" s="41"/>
      <c r="BM208" s="39"/>
      <c r="BN208" s="39"/>
      <c r="BO208" s="39"/>
      <c r="BP208" s="39"/>
      <c r="BQ208" s="39"/>
      <c r="BR208" s="39"/>
      <c r="BS208" s="39"/>
      <c r="BT208" s="39"/>
      <c r="BW208" s="39"/>
      <c r="BX208" s="38"/>
    </row>
    <row r="209" spans="1:76" s="201" customFormat="1" x14ac:dyDescent="0.25">
      <c r="A209" s="200"/>
      <c r="B209" s="216"/>
      <c r="C209" s="214" t="s">
        <v>9</v>
      </c>
      <c r="D209" s="214" t="s">
        <v>8</v>
      </c>
      <c r="E209" s="213"/>
      <c r="F209" s="213"/>
      <c r="G209" s="197"/>
      <c r="H209" s="196"/>
      <c r="I209" s="212"/>
      <c r="J209" s="212"/>
      <c r="K209" s="118" t="s">
        <v>40</v>
      </c>
      <c r="L209" s="335" t="s">
        <v>86</v>
      </c>
      <c r="M209" s="268" t="s">
        <v>13</v>
      </c>
      <c r="N209" s="210">
        <f>P209</f>
        <v>125317999.99999999</v>
      </c>
      <c r="O209" s="210">
        <f>Q209</f>
        <v>140356160</v>
      </c>
      <c r="P209" s="210">
        <f>Q209/1.12</f>
        <v>125317999.99999999</v>
      </c>
      <c r="Q209" s="210">
        <v>140356160</v>
      </c>
      <c r="R209" s="113" t="s">
        <v>32</v>
      </c>
      <c r="S209" s="313">
        <v>100</v>
      </c>
      <c r="T209" s="315"/>
      <c r="U209" s="315"/>
      <c r="V209" s="315"/>
      <c r="W209" s="315"/>
      <c r="X209" s="315"/>
      <c r="Y209" s="315"/>
      <c r="Z209" s="206"/>
      <c r="AA209" s="206"/>
      <c r="AB209" s="206"/>
      <c r="AC209" s="206"/>
      <c r="AD209" s="206"/>
      <c r="AE209" s="206"/>
      <c r="AF209" s="206"/>
      <c r="AG209" s="206"/>
      <c r="AH209" s="206"/>
      <c r="AI209" s="206"/>
      <c r="AJ209" s="206"/>
      <c r="AK209" s="206"/>
      <c r="AL209" s="206">
        <v>106470</v>
      </c>
      <c r="AM209" s="203">
        <f>AL209*1.12</f>
        <v>119246.40000000001</v>
      </c>
      <c r="AN209" s="206">
        <f>3+14+28+6+4+45</f>
        <v>100</v>
      </c>
      <c r="AO209" s="203">
        <f>AL209-$AI$194/$AK$194*AN209+AQ209*$AI$194/$AK$194</f>
        <v>-57007.16150081568</v>
      </c>
      <c r="AP209" s="203">
        <f>AO209*1.12</f>
        <v>-63848.020880913566</v>
      </c>
      <c r="AQ209" s="203">
        <f>AN209-S209</f>
        <v>0</v>
      </c>
      <c r="AR209" s="205" t="str">
        <f>IF(AI209=0,"",AL209/AI209)</f>
        <v/>
      </c>
      <c r="AS209" s="204"/>
      <c r="AT209" s="204"/>
      <c r="AU209" s="204"/>
      <c r="AV209" s="203"/>
      <c r="AW209" s="203">
        <f>AV209*1.12</f>
        <v>0</v>
      </c>
      <c r="AX209" s="203"/>
      <c r="AY209" s="203">
        <f>$AI$194/$AK$194*AQ209</f>
        <v>0</v>
      </c>
      <c r="AZ209" s="203">
        <f>AL209-$AI$194/$AK$194*AN209</f>
        <v>-57007.16150081568</v>
      </c>
      <c r="BA209" s="203"/>
      <c r="BB209" s="203"/>
      <c r="BC209" s="203"/>
      <c r="BD209" s="203"/>
      <c r="BE209" s="203"/>
      <c r="BF209" s="203"/>
      <c r="BG209" s="203"/>
      <c r="BH209" s="203"/>
      <c r="BI209" s="203"/>
      <c r="BJ209" s="203"/>
      <c r="BK209" s="203"/>
      <c r="BL209" s="203"/>
      <c r="BM209" s="202"/>
      <c r="BN209" s="202"/>
      <c r="BO209" s="202"/>
      <c r="BP209" s="202"/>
      <c r="BQ209" s="202"/>
      <c r="BR209" s="202"/>
      <c r="BS209" s="202"/>
      <c r="BT209" s="202"/>
      <c r="BW209" s="202"/>
      <c r="BX209" s="314"/>
    </row>
    <row r="210" spans="1:76" s="57" customFormat="1" x14ac:dyDescent="0.25">
      <c r="A210" s="200"/>
      <c r="B210" s="216"/>
      <c r="C210" s="70" t="s">
        <v>6</v>
      </c>
      <c r="D210" s="199" t="s">
        <v>26</v>
      </c>
      <c r="E210" s="198"/>
      <c r="F210" s="198"/>
      <c r="G210" s="197"/>
      <c r="H210" s="196"/>
      <c r="I210" s="195"/>
      <c r="J210" s="195"/>
      <c r="K210" s="194"/>
      <c r="L210" s="333"/>
      <c r="M210" s="268"/>
      <c r="N210" s="50">
        <f>P210</f>
        <v>125317999.99999999</v>
      </c>
      <c r="O210" s="50">
        <f>Q210</f>
        <v>140356160</v>
      </c>
      <c r="P210" s="51">
        <f>Q210/1.12</f>
        <v>125317999.99999999</v>
      </c>
      <c r="Q210" s="51">
        <f>Q209</f>
        <v>140356160</v>
      </c>
      <c r="R210" s="113"/>
      <c r="S210" s="313"/>
      <c r="T210" s="312"/>
      <c r="U210" s="312"/>
      <c r="V210" s="312"/>
      <c r="W210" s="312"/>
      <c r="X210" s="312"/>
      <c r="Y210" s="312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317">
        <f>10725.93834/1.12+27353.55616/1.12+6376.07861/1.12</f>
        <v>39692.47599107142</v>
      </c>
      <c r="AM210" s="64">
        <f>AL210*1.12</f>
        <v>44455.573109999998</v>
      </c>
      <c r="AN210" s="66"/>
      <c r="AO210" s="64">
        <f>AL210-$AI$195/$AK$194*AN209+AQ209*$AI$195/$AK$194</f>
        <v>-104850.2646288307</v>
      </c>
      <c r="AP210" s="64">
        <f>AO210*1.12</f>
        <v>-117432.2963842904</v>
      </c>
      <c r="AQ210" s="62"/>
      <c r="AR210" s="189" t="str">
        <f>IF(AI210=0,"",AL210/AI210)</f>
        <v/>
      </c>
      <c r="AS210" s="115"/>
      <c r="AT210" s="115">
        <f>AL210</f>
        <v>39692.47599107142</v>
      </c>
      <c r="AU210" s="63"/>
      <c r="AV210" s="64">
        <f>AL210</f>
        <v>39692.47599107142</v>
      </c>
      <c r="AW210" s="64">
        <f>AM210</f>
        <v>44455.573109999998</v>
      </c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59"/>
      <c r="BN210" s="59"/>
      <c r="BO210" s="59"/>
      <c r="BP210" s="59"/>
      <c r="BQ210" s="59"/>
      <c r="BR210" s="59"/>
      <c r="BS210" s="59"/>
      <c r="BT210" s="59"/>
      <c r="BU210" s="57">
        <v>11562480</v>
      </c>
      <c r="BW210" s="59"/>
      <c r="BX210" s="58"/>
    </row>
    <row r="211" spans="1:76" x14ac:dyDescent="0.25">
      <c r="A211" s="200"/>
      <c r="B211" s="216"/>
      <c r="C211" s="53" t="s">
        <v>6</v>
      </c>
      <c r="D211" s="187" t="s">
        <v>5</v>
      </c>
      <c r="E211" s="186"/>
      <c r="F211" s="186"/>
      <c r="G211" s="197"/>
      <c r="H211" s="196"/>
      <c r="I211" s="183"/>
      <c r="J211" s="183"/>
      <c r="K211" s="105"/>
      <c r="L211" s="326"/>
      <c r="M211" s="268"/>
      <c r="N211" s="50">
        <f>P211</f>
        <v>125317999.99999999</v>
      </c>
      <c r="O211" s="50">
        <f>Q211</f>
        <v>140356160</v>
      </c>
      <c r="P211" s="50">
        <f>Q211/1.12</f>
        <v>125317999.99999999</v>
      </c>
      <c r="Q211" s="50">
        <f>Q210</f>
        <v>140356160</v>
      </c>
      <c r="R211" s="113"/>
      <c r="S211" s="313"/>
      <c r="T211" s="312"/>
      <c r="U211" s="312"/>
      <c r="V211" s="312"/>
      <c r="W211" s="312"/>
      <c r="X211" s="312"/>
      <c r="Y211" s="312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103">
        <f>AL210</f>
        <v>39692.47599107142</v>
      </c>
      <c r="AM211" s="44">
        <f>AL211*1.12</f>
        <v>44455.573109999998</v>
      </c>
      <c r="AN211" s="46"/>
      <c r="AO211" s="44">
        <f>AO210</f>
        <v>-104850.2646288307</v>
      </c>
      <c r="AP211" s="44">
        <f>AP210</f>
        <v>-117432.2963842904</v>
      </c>
      <c r="AQ211" s="41"/>
      <c r="AR211" s="178" t="str">
        <f>IF(AI211=0,"",AL211/AI211)</f>
        <v/>
      </c>
      <c r="AS211" s="101"/>
      <c r="AT211" s="101">
        <f>AL211</f>
        <v>39692.47599107142</v>
      </c>
      <c r="AU211" s="42"/>
      <c r="AV211" s="44">
        <f>AL211</f>
        <v>39692.47599107142</v>
      </c>
      <c r="AW211" s="44">
        <f>AM211</f>
        <v>44455.573109999998</v>
      </c>
      <c r="AX211" s="41"/>
      <c r="AY211" s="41"/>
      <c r="AZ211" s="41"/>
      <c r="BA211" s="41"/>
      <c r="BB211" s="41"/>
      <c r="BC211" s="41"/>
      <c r="BD211" s="41"/>
      <c r="BE211" s="41"/>
      <c r="BF211" s="41"/>
      <c r="BG211" s="41"/>
      <c r="BH211" s="41"/>
      <c r="BI211" s="41"/>
      <c r="BJ211" s="41"/>
      <c r="BK211" s="41"/>
      <c r="BL211" s="41"/>
      <c r="BM211" s="39"/>
      <c r="BN211" s="39"/>
      <c r="BO211" s="39"/>
      <c r="BP211" s="39"/>
      <c r="BQ211" s="39"/>
      <c r="BR211" s="39"/>
      <c r="BS211" s="39"/>
      <c r="BT211" s="39"/>
      <c r="BW211" s="39"/>
      <c r="BX211" s="38"/>
    </row>
    <row r="212" spans="1:76" s="201" customFormat="1" x14ac:dyDescent="0.25">
      <c r="A212" s="200"/>
      <c r="B212" s="216"/>
      <c r="C212" s="214" t="s">
        <v>9</v>
      </c>
      <c r="D212" s="214" t="s">
        <v>8</v>
      </c>
      <c r="E212" s="213"/>
      <c r="F212" s="213"/>
      <c r="G212" s="197"/>
      <c r="H212" s="196"/>
      <c r="I212" s="212"/>
      <c r="J212" s="212"/>
      <c r="K212" s="337" t="s">
        <v>42</v>
      </c>
      <c r="L212" s="337" t="s">
        <v>95</v>
      </c>
      <c r="M212" s="268" t="s">
        <v>13</v>
      </c>
      <c r="N212" s="210">
        <f>P212</f>
        <v>76444017.214285702</v>
      </c>
      <c r="O212" s="210">
        <f>Q212</f>
        <v>85617299.280000001</v>
      </c>
      <c r="P212" s="210">
        <f>Q212/1.12</f>
        <v>76444017.214285702</v>
      </c>
      <c r="Q212" s="210">
        <v>85617299.280000001</v>
      </c>
      <c r="R212" s="113" t="s">
        <v>87</v>
      </c>
      <c r="S212" s="313">
        <v>61</v>
      </c>
      <c r="T212" s="315"/>
      <c r="U212" s="315"/>
      <c r="V212" s="315"/>
      <c r="W212" s="315"/>
      <c r="X212" s="315"/>
      <c r="Y212" s="315"/>
      <c r="Z212" s="206"/>
      <c r="AA212" s="206"/>
      <c r="AB212" s="206"/>
      <c r="AC212" s="206"/>
      <c r="AD212" s="206"/>
      <c r="AE212" s="206"/>
      <c r="AF212" s="206"/>
      <c r="AG212" s="206"/>
      <c r="AH212" s="206"/>
      <c r="AI212" s="206"/>
      <c r="AJ212" s="206"/>
      <c r="AK212" s="206"/>
      <c r="AL212" s="206">
        <v>76433</v>
      </c>
      <c r="AM212" s="203">
        <f>AL212*1.12</f>
        <v>85604.96</v>
      </c>
      <c r="AN212" s="206">
        <f>24+37</f>
        <v>61</v>
      </c>
      <c r="AO212" s="203">
        <f>AL212-$AI$194/$AK$194*AN212+AQ212*$AI$194/$AK$194</f>
        <v>-23288.068515497551</v>
      </c>
      <c r="AP212" s="203">
        <f>AO212*1.12</f>
        <v>-26082.636737357261</v>
      </c>
      <c r="AQ212" s="213">
        <f>AN212-S212</f>
        <v>0</v>
      </c>
      <c r="AR212" s="205" t="str">
        <f>IF(AI212=0,"",AL212/AI212)</f>
        <v/>
      </c>
      <c r="AS212" s="204"/>
      <c r="AT212" s="204"/>
      <c r="AU212" s="204"/>
      <c r="AV212" s="203"/>
      <c r="AW212" s="203">
        <f>AV212*1.12</f>
        <v>0</v>
      </c>
      <c r="AX212" s="203"/>
      <c r="AY212" s="203">
        <f>$AI$194/$AK$194*AQ212</f>
        <v>0</v>
      </c>
      <c r="AZ212" s="203">
        <f>AL212-$AI$194/$AK$194*AN212</f>
        <v>-23288.068515497551</v>
      </c>
      <c r="BA212" s="203"/>
      <c r="BB212" s="203"/>
      <c r="BC212" s="203"/>
      <c r="BD212" s="203"/>
      <c r="BE212" s="203"/>
      <c r="BF212" s="203"/>
      <c r="BG212" s="203"/>
      <c r="BH212" s="203"/>
      <c r="BI212" s="203"/>
      <c r="BJ212" s="203"/>
      <c r="BK212" s="203"/>
      <c r="BL212" s="203"/>
      <c r="BM212" s="202"/>
      <c r="BN212" s="202"/>
      <c r="BO212" s="202"/>
      <c r="BP212" s="202"/>
      <c r="BQ212" s="202"/>
      <c r="BR212" s="202"/>
      <c r="BS212" s="202"/>
      <c r="BT212" s="202"/>
      <c r="BW212" s="202"/>
      <c r="BX212" s="314"/>
    </row>
    <row r="213" spans="1:76" s="57" customFormat="1" x14ac:dyDescent="0.25">
      <c r="A213" s="200"/>
      <c r="B213" s="216"/>
      <c r="C213" s="70" t="s">
        <v>6</v>
      </c>
      <c r="D213" s="199" t="s">
        <v>26</v>
      </c>
      <c r="E213" s="198"/>
      <c r="F213" s="198"/>
      <c r="G213" s="197"/>
      <c r="H213" s="196"/>
      <c r="I213" s="195"/>
      <c r="J213" s="195"/>
      <c r="K213" s="337"/>
      <c r="L213" s="337"/>
      <c r="M213" s="268"/>
      <c r="N213" s="50">
        <f>P213</f>
        <v>76444017.214285702</v>
      </c>
      <c r="O213" s="50">
        <f>Q213</f>
        <v>85617299.280000001</v>
      </c>
      <c r="P213" s="51">
        <f>Q213/1.12</f>
        <v>76444017.214285702</v>
      </c>
      <c r="Q213" s="51">
        <f>Q212</f>
        <v>85617299.280000001</v>
      </c>
      <c r="R213" s="113"/>
      <c r="S213" s="313"/>
      <c r="T213" s="312"/>
      <c r="U213" s="312"/>
      <c r="V213" s="312"/>
      <c r="W213" s="312"/>
      <c r="X213" s="312"/>
      <c r="Y213" s="312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127">
        <f>34029.96146/1.12+47901.94847/1.12</f>
        <v>73153.491008928569</v>
      </c>
      <c r="AM213" s="64">
        <f>AL213*1.12</f>
        <v>81931.909930000009</v>
      </c>
      <c r="AN213" s="66"/>
      <c r="AO213" s="64">
        <f>AL213-$AI$195/$AK$194*AN212+AQ212*$AI$195/$AK$194</f>
        <v>-15017.580769211723</v>
      </c>
      <c r="AP213" s="64">
        <f>AO213*1.12</f>
        <v>-16819.690461517133</v>
      </c>
      <c r="AQ213" s="62"/>
      <c r="AR213" s="189" t="str">
        <f>IF(AI213=0,"",AL213/AI213)</f>
        <v/>
      </c>
      <c r="AS213" s="115"/>
      <c r="AT213" s="115">
        <f>AL213</f>
        <v>73153.491008928569</v>
      </c>
      <c r="AU213" s="63"/>
      <c r="AV213" s="64">
        <f>AL213</f>
        <v>73153.491008928569</v>
      </c>
      <c r="AW213" s="64">
        <f>AM213</f>
        <v>81931.909930000009</v>
      </c>
      <c r="AX213" s="62"/>
      <c r="AY213" s="62"/>
      <c r="AZ213" s="62"/>
      <c r="BA213" s="62"/>
      <c r="BB213" s="62"/>
      <c r="BC213" s="62"/>
      <c r="BD213" s="62"/>
      <c r="BE213" s="62"/>
      <c r="BF213" s="62"/>
      <c r="BG213" s="62"/>
      <c r="BH213" s="62"/>
      <c r="BI213" s="62"/>
      <c r="BJ213" s="62"/>
      <c r="BK213" s="62"/>
      <c r="BL213" s="62"/>
      <c r="BM213" s="59"/>
      <c r="BN213" s="59"/>
      <c r="BO213" s="59"/>
      <c r="BP213" s="59"/>
      <c r="BQ213" s="59"/>
      <c r="BR213" s="59"/>
      <c r="BS213" s="59"/>
      <c r="BT213" s="59"/>
      <c r="BU213" s="57">
        <v>11562480</v>
      </c>
      <c r="BW213" s="59"/>
      <c r="BX213" s="58"/>
    </row>
    <row r="214" spans="1:76" x14ac:dyDescent="0.25">
      <c r="A214" s="55"/>
      <c r="B214" s="215"/>
      <c r="C214" s="53" t="s">
        <v>6</v>
      </c>
      <c r="D214" s="187" t="s">
        <v>5</v>
      </c>
      <c r="E214" s="186"/>
      <c r="F214" s="186"/>
      <c r="G214" s="185"/>
      <c r="H214" s="184"/>
      <c r="I214" s="183"/>
      <c r="J214" s="183"/>
      <c r="K214" s="337"/>
      <c r="L214" s="337"/>
      <c r="M214" s="268"/>
      <c r="N214" s="50">
        <f>P214</f>
        <v>76444017.214285702</v>
      </c>
      <c r="O214" s="50">
        <f>Q214</f>
        <v>85617299.280000001</v>
      </c>
      <c r="P214" s="50">
        <f>Q214/1.12</f>
        <v>76444017.214285702</v>
      </c>
      <c r="Q214" s="50">
        <f>Q213</f>
        <v>85617299.280000001</v>
      </c>
      <c r="R214" s="113"/>
      <c r="S214" s="313"/>
      <c r="T214" s="312"/>
      <c r="U214" s="312"/>
      <c r="V214" s="312"/>
      <c r="W214" s="312"/>
      <c r="X214" s="312"/>
      <c r="Y214" s="312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103">
        <f>AL213</f>
        <v>73153.491008928569</v>
      </c>
      <c r="AM214" s="44">
        <f>AL214*1.12</f>
        <v>81931.909930000009</v>
      </c>
      <c r="AN214" s="46"/>
      <c r="AO214" s="44">
        <f>AO213</f>
        <v>-15017.580769211723</v>
      </c>
      <c r="AP214" s="44">
        <f>AP213</f>
        <v>-16819.690461517133</v>
      </c>
      <c r="AQ214" s="41"/>
      <c r="AR214" s="178" t="str">
        <f>IF(AI214=0,"",AL214/AI214)</f>
        <v/>
      </c>
      <c r="AS214" s="101"/>
      <c r="AT214" s="101">
        <f>AL214</f>
        <v>73153.491008928569</v>
      </c>
      <c r="AU214" s="42"/>
      <c r="AV214" s="44">
        <f>AL214</f>
        <v>73153.491008928569</v>
      </c>
      <c r="AW214" s="44">
        <f>AM214</f>
        <v>81931.909930000009</v>
      </c>
      <c r="AX214" s="41"/>
      <c r="AY214" s="41"/>
      <c r="AZ214" s="41"/>
      <c r="BA214" s="41"/>
      <c r="BB214" s="41"/>
      <c r="BC214" s="41"/>
      <c r="BD214" s="41"/>
      <c r="BE214" s="41"/>
      <c r="BF214" s="41"/>
      <c r="BG214" s="41"/>
      <c r="BH214" s="41"/>
      <c r="BI214" s="41"/>
      <c r="BJ214" s="41"/>
      <c r="BK214" s="41"/>
      <c r="BL214" s="41"/>
      <c r="BM214" s="39"/>
      <c r="BN214" s="39"/>
      <c r="BO214" s="39"/>
      <c r="BP214" s="39"/>
      <c r="BQ214" s="39"/>
      <c r="BR214" s="39"/>
      <c r="BS214" s="39"/>
      <c r="BT214" s="39"/>
      <c r="BW214" s="39"/>
      <c r="BX214" s="38"/>
    </row>
    <row r="215" spans="1:76" s="288" customFormat="1" ht="15" customHeight="1" x14ac:dyDescent="0.25">
      <c r="A215" s="72">
        <v>4</v>
      </c>
      <c r="B215" s="217" t="s">
        <v>94</v>
      </c>
      <c r="C215" s="304"/>
      <c r="D215" s="304"/>
      <c r="E215" s="355">
        <f>E217+E220+E223+E226+E229+E232</f>
        <v>310515</v>
      </c>
      <c r="F215" s="355">
        <f>F217+F220+F223+F226+F229+F232</f>
        <v>347776.80000000005</v>
      </c>
      <c r="G215" s="357"/>
      <c r="H215" s="356">
        <f>H217</f>
        <v>205</v>
      </c>
      <c r="I215" s="355">
        <f>I217+I220+I223+I226+I229+I232</f>
        <v>310515</v>
      </c>
      <c r="J215" s="355">
        <f>J217+J220+J223+J226+J229+J232</f>
        <v>347776.80000000005</v>
      </c>
      <c r="K215" s="311" t="s">
        <v>93</v>
      </c>
      <c r="L215" s="310"/>
      <c r="M215" s="354" t="s">
        <v>13</v>
      </c>
      <c r="N215" s="352">
        <f>N217+N220+N223+N226+N229+N232</f>
        <v>232189764.08035713</v>
      </c>
      <c r="O215" s="353">
        <f>O217+O220+O223+O226+O229+O232</f>
        <v>260052535.77000001</v>
      </c>
      <c r="P215" s="352">
        <f>P217+P220+P223+P226+P229+P232</f>
        <v>232189764.08035713</v>
      </c>
      <c r="Q215" s="351">
        <f>Q217+Q220+Q223+Q226+Q229+Q232</f>
        <v>260052535.77000001</v>
      </c>
      <c r="R215" s="305"/>
      <c r="S215" s="297">
        <f>S217+S220+S223+S226+S229+S232</f>
        <v>205</v>
      </c>
      <c r="T215" s="296"/>
      <c r="U215" s="296"/>
      <c r="V215" s="296"/>
      <c r="W215" s="296"/>
      <c r="X215" s="296"/>
      <c r="Y215" s="359"/>
      <c r="Z215" s="350"/>
      <c r="AA215" s="350"/>
      <c r="AB215" s="350"/>
      <c r="AC215" s="350"/>
      <c r="AD215" s="350"/>
      <c r="AE215" s="350"/>
      <c r="AF215" s="350"/>
      <c r="AG215" s="350"/>
      <c r="AH215" s="350"/>
      <c r="AI215" s="350">
        <f>AI217+AI220+AI223+AI226+AI229+AI232</f>
        <v>310515</v>
      </c>
      <c r="AJ215" s="350">
        <f>AJ217+AJ220+AJ223+AJ226+AJ229+AJ232</f>
        <v>347776.80000000005</v>
      </c>
      <c r="AK215" s="350">
        <f>AK217+AK220+AK223+AK226+AK229+AK232</f>
        <v>205</v>
      </c>
      <c r="AL215" s="350">
        <f>AL217+AL220+AL223+AL226+AL229+AL232</f>
        <v>220470</v>
      </c>
      <c r="AM215" s="348">
        <f>AM217+AM220+AM223+AM226+AM229+AM232</f>
        <v>246926.4</v>
      </c>
      <c r="AN215" s="350">
        <f>AN217+AN220+AN223+AN226+AN229+AN232</f>
        <v>205</v>
      </c>
      <c r="AO215" s="348">
        <f>AL215-AI215</f>
        <v>-90045</v>
      </c>
      <c r="AP215" s="348">
        <f>AM215-AJ215</f>
        <v>-100850.40000000005</v>
      </c>
      <c r="AQ215" s="348">
        <f>AQ217+AQ220+AQ223+AQ226+AQ229+AQ232</f>
        <v>0</v>
      </c>
      <c r="AR215" s="293">
        <f>IF(AI215=0,"",AL215/AI215)</f>
        <v>0.71001400898507316</v>
      </c>
      <c r="AS215" s="349">
        <f>AS217+AS220+AS223+AS226+AS229+AS232</f>
        <v>0</v>
      </c>
      <c r="AT215" s="349">
        <f>AT217+AT220+AT223+AT226+AT229+AT232</f>
        <v>0</v>
      </c>
      <c r="AU215" s="349">
        <f>AU217+AU220+AU223+AU226+AU229+AU232</f>
        <v>0</v>
      </c>
      <c r="AV215" s="348">
        <f>AV217+AV220+AV223+AV226+AV229+AV232</f>
        <v>310515</v>
      </c>
      <c r="AW215" s="348">
        <f>AW217+AW220+AW223+AW226+AW229+AW232</f>
        <v>347776.8</v>
      </c>
      <c r="AX215" s="348">
        <f>AX217+AX220+AX223+AX226+AX229+AX232</f>
        <v>205</v>
      </c>
      <c r="AY215" s="348">
        <f>AY217+AY220+AY223+AY226+AY229+AY232</f>
        <v>0</v>
      </c>
      <c r="AZ215" s="348">
        <f>AZ217+AZ220+AZ223+AZ226+AZ229+AZ232</f>
        <v>-90045</v>
      </c>
      <c r="BA215" s="348">
        <f>BA217+BA220+BA223+BA226+BA229+BA232</f>
        <v>0</v>
      </c>
      <c r="BB215" s="348">
        <f>BB217+BB220+BB223+BB226+BB229+BB232</f>
        <v>0</v>
      </c>
      <c r="BC215" s="348">
        <f>BC217+BC220+BC223+BC226+BC229+BC232</f>
        <v>0</v>
      </c>
      <c r="BD215" s="348">
        <f>BD217+BD220+BD223+BD226+BD229+BD232</f>
        <v>0</v>
      </c>
      <c r="BE215" s="348">
        <f>BE217+BE220+BE223+BE226+BE229+BE232</f>
        <v>0</v>
      </c>
      <c r="BF215" s="348">
        <f>BF217+BF220+BF223+BF226+BF229+BF232</f>
        <v>0</v>
      </c>
      <c r="BG215" s="348">
        <f>BG217+BG220+BG223+BG226+BG229+BG232</f>
        <v>0</v>
      </c>
      <c r="BH215" s="348">
        <f>BH217+BH220+BH223+BH226+BH229+BH232</f>
        <v>0</v>
      </c>
      <c r="BI215" s="348">
        <f>BI217+BI220+BI223+BI226+BI229+BI232</f>
        <v>0</v>
      </c>
      <c r="BJ215" s="348">
        <f>BJ217+BJ220+BJ223+BJ226+BJ229+BJ232</f>
        <v>0</v>
      </c>
      <c r="BK215" s="348">
        <f>BK217+BK220+BK223+BK226+BK229+BK232</f>
        <v>0</v>
      </c>
      <c r="BL215" s="348">
        <f>BL217+BL220+BL223+BL226+BL229+BL232</f>
        <v>0</v>
      </c>
      <c r="BM215" s="358" t="s">
        <v>82</v>
      </c>
      <c r="BN215" s="290"/>
      <c r="BO215" s="348">
        <f>BO217+BO220+BO223+BO226+BO229+BO232</f>
        <v>0</v>
      </c>
      <c r="BP215" s="348">
        <f>BP217+BP220+BP223+BP226+BP229+BP232</f>
        <v>0</v>
      </c>
      <c r="BQ215" s="348">
        <f>BQ217+BQ220+BQ223+BQ226+BQ229+BQ232</f>
        <v>0</v>
      </c>
      <c r="BR215" s="347"/>
      <c r="BS215" s="347"/>
      <c r="BT215" s="290"/>
      <c r="BW215" s="290"/>
      <c r="BX215" s="289"/>
    </row>
    <row r="216" spans="1:76" s="288" customFormat="1" x14ac:dyDescent="0.25">
      <c r="A216" s="200"/>
      <c r="B216" s="216"/>
      <c r="C216" s="304"/>
      <c r="D216" s="304"/>
      <c r="E216" s="355">
        <f>E218+E221+E224+E227+E230+E233</f>
        <v>310515</v>
      </c>
      <c r="F216" s="355">
        <f>F218+F221+F224+F227+F230+F233</f>
        <v>347776.80000000005</v>
      </c>
      <c r="G216" s="357"/>
      <c r="H216" s="356"/>
      <c r="I216" s="355">
        <f>I218+I221+I224+I227+I230+I233</f>
        <v>266588</v>
      </c>
      <c r="J216" s="355">
        <f>J218+J221+J224+J227+J230+J233</f>
        <v>298578.56000000006</v>
      </c>
      <c r="K216" s="302"/>
      <c r="L216" s="301"/>
      <c r="M216" s="354"/>
      <c r="N216" s="352">
        <f>N218+N221+N224+N227+N230+N233</f>
        <v>232189764.08035713</v>
      </c>
      <c r="O216" s="353">
        <f>O218+O221+O224+O227+O230+O233</f>
        <v>260052535.77000001</v>
      </c>
      <c r="P216" s="352">
        <f>P218+P221+P224+P227+P230+P233</f>
        <v>232189764.08035713</v>
      </c>
      <c r="Q216" s="351">
        <f>Q218+Q221+Q224+Q227+Q230+Q233</f>
        <v>260052535.77000001</v>
      </c>
      <c r="R216" s="305"/>
      <c r="S216" s="297"/>
      <c r="T216" s="296"/>
      <c r="U216" s="296"/>
      <c r="V216" s="296"/>
      <c r="W216" s="296"/>
      <c r="X216" s="296"/>
      <c r="Y216" s="296"/>
      <c r="Z216" s="350"/>
      <c r="AA216" s="350"/>
      <c r="AB216" s="350"/>
      <c r="AC216" s="350"/>
      <c r="AD216" s="350"/>
      <c r="AE216" s="350"/>
      <c r="AF216" s="350"/>
      <c r="AG216" s="350"/>
      <c r="AH216" s="350"/>
      <c r="AI216" s="350">
        <f>AI218+AI221+AI224+AI227+AI230+AI233</f>
        <v>266588</v>
      </c>
      <c r="AJ216" s="350">
        <f>AJ218+AJ221+AJ224+AJ227+AJ230+AJ233</f>
        <v>298578.56000000006</v>
      </c>
      <c r="AK216" s="350">
        <f>AK218+AK221+AK224+AK227+AK230+AK233</f>
        <v>0</v>
      </c>
      <c r="AL216" s="350">
        <f>AL218+AL221+AL224+AL227+AL230+AL233</f>
        <v>104387.50951785714</v>
      </c>
      <c r="AM216" s="348">
        <f>AM218+AM221+AM224+AM227+AM230+AM233</f>
        <v>116914.01066000001</v>
      </c>
      <c r="AN216" s="350">
        <f>AN218+AN221+AN224+AN227+AN230+AN233</f>
        <v>0</v>
      </c>
      <c r="AO216" s="348">
        <f>AL216-AI216</f>
        <v>-162200.49048214286</v>
      </c>
      <c r="AP216" s="348">
        <f>AM216-AJ216</f>
        <v>-181664.54934000003</v>
      </c>
      <c r="AQ216" s="348">
        <f>AQ218+AQ221+AQ224+AQ227+AQ230+AQ233</f>
        <v>0</v>
      </c>
      <c r="AR216" s="293">
        <f>IF(AI216=0,"",AL216/AI216)</f>
        <v>0.39156867345063218</v>
      </c>
      <c r="AS216" s="349">
        <f>AS218+AS221+AS224+AS227+AS230+AS233</f>
        <v>0</v>
      </c>
      <c r="AT216" s="349">
        <f>AT218+AT221+AT224+AT227+AT230+AT233</f>
        <v>104387.50951785714</v>
      </c>
      <c r="AU216" s="349">
        <f>AU218+AU221+AU224+AU227+AU230+AU233</f>
        <v>0</v>
      </c>
      <c r="AV216" s="348">
        <f>AV218+AV221+AV224+AV227+AV230+AV233</f>
        <v>317073.67795535718</v>
      </c>
      <c r="AW216" s="348">
        <f>AW218+AW221+AW224+AW227+AW230+AW233</f>
        <v>355122.51931</v>
      </c>
      <c r="AX216" s="348">
        <f>AX218+AX221+AX224+AX227+AX230+AX233</f>
        <v>0</v>
      </c>
      <c r="AY216" s="348">
        <f>AY218+AY221+AY224+AY227+AY230+AY233</f>
        <v>0</v>
      </c>
      <c r="AZ216" s="348">
        <f>AZ218+AZ221+AZ224+AZ227+AZ230+AZ233</f>
        <v>0</v>
      </c>
      <c r="BA216" s="348">
        <f>BA218+BA221+BA224+BA227+BA230+BA233</f>
        <v>0</v>
      </c>
      <c r="BB216" s="348">
        <f>BB218+BB221+BB224+BB227+BB230+BB233</f>
        <v>0</v>
      </c>
      <c r="BC216" s="348">
        <f>BC218+BC221+BC224+BC227+BC230+BC233</f>
        <v>0</v>
      </c>
      <c r="BD216" s="348">
        <f>BD218+BD221+BD224+BD227+BD230+BD233</f>
        <v>0</v>
      </c>
      <c r="BE216" s="348">
        <f>BE218+BE221+BE224+BE227+BE230+BE233</f>
        <v>0</v>
      </c>
      <c r="BF216" s="348">
        <f>BF218+BF221+BF224+BF227+BF230+BF233</f>
        <v>0</v>
      </c>
      <c r="BG216" s="348">
        <f>BG218+BG221+BG224+BG227+BG230+BG233</f>
        <v>0</v>
      </c>
      <c r="BH216" s="348">
        <f>BH218+BH221+BH224+BH227+BH230+BH233</f>
        <v>0</v>
      </c>
      <c r="BI216" s="348">
        <f>BI218+BI221+BI224+BI227+BI230+BI233</f>
        <v>0</v>
      </c>
      <c r="BJ216" s="348">
        <f>BJ218+BJ221+BJ224+BJ227+BJ230+BJ233</f>
        <v>0</v>
      </c>
      <c r="BK216" s="348">
        <f>BK218+BK221+BK224+BK227+BK230+BK233</f>
        <v>0</v>
      </c>
      <c r="BL216" s="348">
        <f>BL218+BL221+BL224+BL227+BL230+BL233</f>
        <v>0</v>
      </c>
      <c r="BM216" s="290"/>
      <c r="BN216" s="290"/>
      <c r="BO216" s="348">
        <f>BO218+BO221+BO224+BO227+BO230+BO233</f>
        <v>0</v>
      </c>
      <c r="BP216" s="348">
        <f>BP218+BP221+BP224+BP227+BP230+BP233</f>
        <v>0</v>
      </c>
      <c r="BQ216" s="348">
        <f>BQ218+BQ221+BQ224+BQ227+BQ230+BQ233</f>
        <v>0</v>
      </c>
      <c r="BR216" s="347"/>
      <c r="BS216" s="347"/>
      <c r="BT216" s="290"/>
      <c r="BW216" s="290"/>
      <c r="BX216" s="289"/>
    </row>
    <row r="217" spans="1:76" s="201" customFormat="1" ht="12.75" customHeight="1" x14ac:dyDescent="0.25">
      <c r="A217" s="200"/>
      <c r="B217" s="216"/>
      <c r="C217" s="214" t="s">
        <v>9</v>
      </c>
      <c r="D217" s="214" t="s">
        <v>8</v>
      </c>
      <c r="E217" s="213">
        <v>310515</v>
      </c>
      <c r="F217" s="213">
        <f>E217*1.12</f>
        <v>347776.80000000005</v>
      </c>
      <c r="G217" s="243">
        <v>1818</v>
      </c>
      <c r="H217" s="242">
        <v>205</v>
      </c>
      <c r="I217" s="212">
        <v>310515</v>
      </c>
      <c r="J217" s="212">
        <f>I217*1.12</f>
        <v>347776.80000000005</v>
      </c>
      <c r="K217" s="346" t="s">
        <v>55</v>
      </c>
      <c r="L217" s="237" t="s">
        <v>92</v>
      </c>
      <c r="M217" s="268" t="s">
        <v>13</v>
      </c>
      <c r="N217" s="210">
        <f>P217</f>
        <v>66864843.374999993</v>
      </c>
      <c r="O217" s="210">
        <f>Q217</f>
        <v>74888624.579999998</v>
      </c>
      <c r="P217" s="210">
        <f>Q217/1.12</f>
        <v>66864843.374999993</v>
      </c>
      <c r="Q217" s="210">
        <v>74888624.579999998</v>
      </c>
      <c r="R217" s="73" t="s">
        <v>91</v>
      </c>
      <c r="S217" s="104">
        <v>59</v>
      </c>
      <c r="T217" s="315"/>
      <c r="U217" s="315"/>
      <c r="V217" s="315"/>
      <c r="W217" s="315"/>
      <c r="X217" s="315"/>
      <c r="Y217" s="315"/>
      <c r="Z217" s="206"/>
      <c r="AA217" s="206"/>
      <c r="AB217" s="206"/>
      <c r="AC217" s="206"/>
      <c r="AD217" s="206"/>
      <c r="AE217" s="206"/>
      <c r="AF217" s="206"/>
      <c r="AG217" s="206"/>
      <c r="AH217" s="206"/>
      <c r="AI217" s="206">
        <f>16662+15147+15147+43926+43926+43927+43927+43926+43927</f>
        <v>310515</v>
      </c>
      <c r="AJ217" s="206">
        <f>AI217*1.12</f>
        <v>347776.80000000005</v>
      </c>
      <c r="AK217" s="206">
        <f>11+10+10+29+29+29+29+29+29</f>
        <v>205</v>
      </c>
      <c r="AL217" s="206">
        <f>34858-1+25982</f>
        <v>60839</v>
      </c>
      <c r="AM217" s="203">
        <f>AL217*1.12</f>
        <v>68139.680000000008</v>
      </c>
      <c r="AN217" s="206">
        <f>26+12+21</f>
        <v>59</v>
      </c>
      <c r="AO217" s="203">
        <f>AL217-$AI$217/$AK$217*AN217</f>
        <v>-28528.731707317071</v>
      </c>
      <c r="AP217" s="203">
        <f>AO217*1.12</f>
        <v>-31952.179512195122</v>
      </c>
      <c r="AQ217" s="203">
        <f>AN217-S217</f>
        <v>0</v>
      </c>
      <c r="AR217" s="205"/>
      <c r="AS217" s="204"/>
      <c r="AT217" s="204"/>
      <c r="AU217" s="204"/>
      <c r="AV217" s="203">
        <f>ROUND(P217/1000,0)</f>
        <v>66865</v>
      </c>
      <c r="AW217" s="203">
        <f>AV217*1.12</f>
        <v>74888.800000000003</v>
      </c>
      <c r="AX217" s="203">
        <f>S217</f>
        <v>59</v>
      </c>
      <c r="AY217" s="203">
        <f>$AI$217/$AK$217*AQ217</f>
        <v>0</v>
      </c>
      <c r="AZ217" s="203">
        <f>AL217-$AI$217/$AK$217*AN217</f>
        <v>-28528.731707317071</v>
      </c>
      <c r="BA217" s="203"/>
      <c r="BB217" s="203"/>
      <c r="BC217" s="203"/>
      <c r="BD217" s="203"/>
      <c r="BE217" s="203"/>
      <c r="BF217" s="203">
        <f>$AI$217/$AK$217*AQ217</f>
        <v>0</v>
      </c>
      <c r="BG217" s="203"/>
      <c r="BH217" s="203"/>
      <c r="BI217" s="203"/>
      <c r="BJ217" s="203"/>
      <c r="BK217" s="203"/>
      <c r="BL217" s="203"/>
      <c r="BM217" s="202"/>
      <c r="BN217" s="202"/>
      <c r="BO217" s="202"/>
      <c r="BP217" s="202"/>
      <c r="BQ217" s="202"/>
      <c r="BR217" s="202"/>
      <c r="BS217" s="202"/>
      <c r="BT217" s="202"/>
      <c r="BW217" s="202"/>
      <c r="BX217" s="314"/>
    </row>
    <row r="218" spans="1:76" s="57" customFormat="1" x14ac:dyDescent="0.25">
      <c r="A218" s="200"/>
      <c r="B218" s="216"/>
      <c r="C218" s="70" t="s">
        <v>6</v>
      </c>
      <c r="D218" s="70" t="s">
        <v>26</v>
      </c>
      <c r="E218" s="198">
        <f>E219</f>
        <v>310515</v>
      </c>
      <c r="F218" s="198">
        <f>E218*1.12</f>
        <v>347776.80000000005</v>
      </c>
      <c r="G218" s="197"/>
      <c r="H218" s="196"/>
      <c r="I218" s="195">
        <f>I219</f>
        <v>266588</v>
      </c>
      <c r="J218" s="195">
        <f>I218*1.12</f>
        <v>298578.56000000006</v>
      </c>
      <c r="K218" s="345"/>
      <c r="L218" s="235"/>
      <c r="M218" s="268"/>
      <c r="N218" s="50">
        <f>P218</f>
        <v>66864843.374999993</v>
      </c>
      <c r="O218" s="50">
        <f>Q218</f>
        <v>74888624.579999998</v>
      </c>
      <c r="P218" s="51">
        <f>Q218/1.12</f>
        <v>66864843.374999993</v>
      </c>
      <c r="Q218" s="51">
        <f>Q217</f>
        <v>74888624.579999998</v>
      </c>
      <c r="R218" s="191"/>
      <c r="S218" s="104"/>
      <c r="T218" s="47"/>
      <c r="U218" s="47"/>
      <c r="V218" s="47"/>
      <c r="W218" s="47"/>
      <c r="X218" s="47"/>
      <c r="Y218" s="47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>
        <f>AI219</f>
        <v>266588</v>
      </c>
      <c r="AJ218" s="66">
        <f>AI218*1.12</f>
        <v>298578.56000000006</v>
      </c>
      <c r="AK218" s="66"/>
      <c r="AL218" s="127">
        <f>15638.9385/1.12+19832.46051/1.12+21748.00508/1.12+3469.31012/1.12</f>
        <v>54186.351973214281</v>
      </c>
      <c r="AM218" s="344">
        <f>AL218*1.12</f>
        <v>60688.714209999998</v>
      </c>
      <c r="AN218" s="343"/>
      <c r="AO218" s="64">
        <f>AL218-$AI$218/$AK$217*AN217+AQ217*$AI$218/$AK$217</f>
        <v>-22538.97485605401</v>
      </c>
      <c r="AP218" s="64">
        <f>AO218*1.12</f>
        <v>-25243.651838780494</v>
      </c>
      <c r="AQ218" s="62"/>
      <c r="AR218" s="189"/>
      <c r="AS218" s="115"/>
      <c r="AT218" s="115">
        <f>AL218</f>
        <v>54186.351973214281</v>
      </c>
      <c r="AU218" s="63"/>
      <c r="AV218" s="64">
        <f>ROUND(P218/1000,0)</f>
        <v>66865</v>
      </c>
      <c r="AW218" s="62">
        <f>AV218*1.12</f>
        <v>74888.800000000003</v>
      </c>
      <c r="AX218" s="62"/>
      <c r="AY218" s="62"/>
      <c r="AZ218" s="62"/>
      <c r="BA218" s="62"/>
      <c r="BB218" s="62"/>
      <c r="BC218" s="62"/>
      <c r="BD218" s="62"/>
      <c r="BE218" s="62"/>
      <c r="BF218" s="62"/>
      <c r="BG218" s="62"/>
      <c r="BH218" s="62"/>
      <c r="BI218" s="62"/>
      <c r="BJ218" s="62"/>
      <c r="BK218" s="62"/>
      <c r="BL218" s="62"/>
      <c r="BM218" s="59"/>
      <c r="BN218" s="59"/>
      <c r="BO218" s="59"/>
      <c r="BP218" s="59"/>
      <c r="BQ218" s="59"/>
      <c r="BR218" s="59"/>
      <c r="BS218" s="59"/>
      <c r="BT218" s="59"/>
      <c r="BU218" s="57">
        <v>20526140.170000002</v>
      </c>
      <c r="BW218" s="59"/>
      <c r="BX218" s="58"/>
    </row>
    <row r="219" spans="1:76" x14ac:dyDescent="0.25">
      <c r="A219" s="200"/>
      <c r="B219" s="216"/>
      <c r="C219" s="53" t="s">
        <v>6</v>
      </c>
      <c r="D219" s="53" t="s">
        <v>5</v>
      </c>
      <c r="E219" s="186">
        <f>E217</f>
        <v>310515</v>
      </c>
      <c r="F219" s="186">
        <f>E219*1.12</f>
        <v>347776.80000000005</v>
      </c>
      <c r="G219" s="197"/>
      <c r="H219" s="196"/>
      <c r="I219" s="183">
        <v>266588</v>
      </c>
      <c r="J219" s="183">
        <f>J218</f>
        <v>298578.56000000006</v>
      </c>
      <c r="K219" s="342"/>
      <c r="L219" s="233"/>
      <c r="M219" s="268"/>
      <c r="N219" s="50">
        <f>P219</f>
        <v>66864843.374999993</v>
      </c>
      <c r="O219" s="50">
        <f>Q219</f>
        <v>74888624.579999998</v>
      </c>
      <c r="P219" s="50">
        <f>Q219/1.12</f>
        <v>66864843.374999993</v>
      </c>
      <c r="Q219" s="50">
        <f>Q218</f>
        <v>74888624.579999998</v>
      </c>
      <c r="R219" s="191"/>
      <c r="S219" s="104"/>
      <c r="T219" s="47"/>
      <c r="U219" s="47"/>
      <c r="V219" s="47"/>
      <c r="W219" s="47"/>
      <c r="X219" s="47"/>
      <c r="Y219" s="47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>
        <f>16662+15147+37110+65889+43927+43927+43926</f>
        <v>266588</v>
      </c>
      <c r="AJ219" s="46">
        <f>AI219*1.12</f>
        <v>298578.56000000006</v>
      </c>
      <c r="AK219" s="46"/>
      <c r="AL219" s="103">
        <f>AL218</f>
        <v>54186.351973214281</v>
      </c>
      <c r="AM219" s="341">
        <f>AL219*1.12</f>
        <v>60688.714209999998</v>
      </c>
      <c r="AN219" s="340"/>
      <c r="AO219" s="44">
        <f>AO218</f>
        <v>-22538.97485605401</v>
      </c>
      <c r="AP219" s="44">
        <f>AP218</f>
        <v>-25243.651838780494</v>
      </c>
      <c r="AQ219" s="41"/>
      <c r="AR219" s="178"/>
      <c r="AS219" s="101"/>
      <c r="AT219" s="101">
        <f>AL219</f>
        <v>54186.351973214281</v>
      </c>
      <c r="AU219" s="42"/>
      <c r="AV219" s="44">
        <f>AV218</f>
        <v>66865</v>
      </c>
      <c r="AW219" s="41">
        <f>AV219*1.12</f>
        <v>74888.800000000003</v>
      </c>
      <c r="AX219" s="41"/>
      <c r="AY219" s="41"/>
      <c r="AZ219" s="41"/>
      <c r="BA219" s="41"/>
      <c r="BB219" s="41"/>
      <c r="BC219" s="41"/>
      <c r="BD219" s="41"/>
      <c r="BE219" s="41"/>
      <c r="BF219" s="41"/>
      <c r="BG219" s="41"/>
      <c r="BH219" s="41"/>
      <c r="BI219" s="41"/>
      <c r="BJ219" s="41"/>
      <c r="BK219" s="41"/>
      <c r="BL219" s="41"/>
      <c r="BM219" s="39"/>
      <c r="BN219" s="39"/>
      <c r="BO219" s="39"/>
      <c r="BP219" s="39"/>
      <c r="BQ219" s="39"/>
      <c r="BR219" s="39"/>
      <c r="BS219" s="39"/>
      <c r="BT219" s="39"/>
      <c r="BW219" s="39"/>
      <c r="BX219" s="38"/>
    </row>
    <row r="220" spans="1:76" s="201" customFormat="1" ht="12.75" customHeight="1" collapsed="1" x14ac:dyDescent="0.25">
      <c r="A220" s="200"/>
      <c r="B220" s="216"/>
      <c r="C220" s="214" t="s">
        <v>9</v>
      </c>
      <c r="D220" s="214" t="s">
        <v>8</v>
      </c>
      <c r="E220" s="213"/>
      <c r="F220" s="213"/>
      <c r="G220" s="197"/>
      <c r="H220" s="196"/>
      <c r="I220" s="212"/>
      <c r="J220" s="212"/>
      <c r="K220" s="337" t="s">
        <v>40</v>
      </c>
      <c r="L220" s="336" t="s">
        <v>90</v>
      </c>
      <c r="M220" s="268" t="s">
        <v>13</v>
      </c>
      <c r="N220" s="210">
        <f>P220</f>
        <v>3399907.2857142854</v>
      </c>
      <c r="O220" s="210">
        <f>Q220</f>
        <v>3807896.16</v>
      </c>
      <c r="P220" s="210">
        <f>Q220/1.12</f>
        <v>3399907.2857142854</v>
      </c>
      <c r="Q220" s="210">
        <v>3807896.16</v>
      </c>
      <c r="R220" s="191"/>
      <c r="S220" s="313">
        <v>3</v>
      </c>
      <c r="T220" s="315"/>
      <c r="U220" s="315"/>
      <c r="V220" s="315"/>
      <c r="W220" s="315"/>
      <c r="X220" s="315"/>
      <c r="Y220" s="315"/>
      <c r="Z220" s="206"/>
      <c r="AA220" s="206"/>
      <c r="AB220" s="206"/>
      <c r="AC220" s="206"/>
      <c r="AD220" s="206"/>
      <c r="AE220" s="206"/>
      <c r="AF220" s="206"/>
      <c r="AG220" s="206"/>
      <c r="AH220" s="206"/>
      <c r="AI220" s="206"/>
      <c r="AJ220" s="206"/>
      <c r="AK220" s="206"/>
      <c r="AL220" s="206">
        <v>1890</v>
      </c>
      <c r="AM220" s="203">
        <f>AL220*1.12</f>
        <v>2116.8000000000002</v>
      </c>
      <c r="AN220" s="206">
        <f>3</f>
        <v>3</v>
      </c>
      <c r="AO220" s="203">
        <f>AL220-$AI$217/$AK$217*AN220</f>
        <v>-2654.1219512195121</v>
      </c>
      <c r="AP220" s="203">
        <f>AO220*1.12</f>
        <v>-2972.616585365854</v>
      </c>
      <c r="AQ220" s="203">
        <f>AN220-S220</f>
        <v>0</v>
      </c>
      <c r="AR220" s="205" t="str">
        <f>IF(AI220=0,"",AL220/AI220)</f>
        <v/>
      </c>
      <c r="AS220" s="204"/>
      <c r="AT220" s="204"/>
      <c r="AU220" s="204"/>
      <c r="AV220" s="203">
        <f>ROUND(P220/1000,0)</f>
        <v>3400</v>
      </c>
      <c r="AW220" s="203">
        <f>AV220*1.12</f>
        <v>3808.0000000000005</v>
      </c>
      <c r="AX220" s="203">
        <f>S220</f>
        <v>3</v>
      </c>
      <c r="AY220" s="203">
        <f>$AI$217/$AK$217*AQ220</f>
        <v>0</v>
      </c>
      <c r="AZ220" s="203">
        <f>AL220-$AI$217/$AK$217*AN220</f>
        <v>-2654.1219512195121</v>
      </c>
      <c r="BA220" s="203"/>
      <c r="BB220" s="203"/>
      <c r="BC220" s="203"/>
      <c r="BD220" s="203"/>
      <c r="BE220" s="203"/>
      <c r="BF220" s="203"/>
      <c r="BG220" s="203"/>
      <c r="BH220" s="203"/>
      <c r="BI220" s="203"/>
      <c r="BJ220" s="203"/>
      <c r="BK220" s="203"/>
      <c r="BL220" s="203"/>
      <c r="BM220" s="339"/>
      <c r="BN220" s="339"/>
      <c r="BO220" s="339"/>
      <c r="BP220" s="339"/>
      <c r="BQ220" s="339"/>
      <c r="BR220" s="339"/>
      <c r="BS220" s="339"/>
      <c r="BT220" s="339"/>
      <c r="BW220" s="202"/>
      <c r="BX220" s="314"/>
    </row>
    <row r="221" spans="1:76" s="327" customFormat="1" x14ac:dyDescent="0.25">
      <c r="A221" s="200"/>
      <c r="B221" s="216"/>
      <c r="C221" s="199" t="s">
        <v>6</v>
      </c>
      <c r="D221" s="199" t="s">
        <v>26</v>
      </c>
      <c r="E221" s="129"/>
      <c r="F221" s="129"/>
      <c r="G221" s="197"/>
      <c r="H221" s="196"/>
      <c r="I221" s="128"/>
      <c r="J221" s="128"/>
      <c r="K221" s="337"/>
      <c r="L221" s="336"/>
      <c r="M221" s="268"/>
      <c r="N221" s="50">
        <f>P221</f>
        <v>3399907.2857142854</v>
      </c>
      <c r="O221" s="50">
        <f>Q221</f>
        <v>3807896.16</v>
      </c>
      <c r="P221" s="51">
        <f>Q221/1.12</f>
        <v>3399907.2857142854</v>
      </c>
      <c r="Q221" s="51">
        <f>Q220</f>
        <v>3807896.16</v>
      </c>
      <c r="R221" s="191"/>
      <c r="S221" s="313"/>
      <c r="T221" s="312"/>
      <c r="U221" s="312"/>
      <c r="V221" s="312"/>
      <c r="W221" s="312"/>
      <c r="X221" s="312"/>
      <c r="Y221" s="312"/>
      <c r="Z221" s="117"/>
      <c r="AA221" s="117"/>
      <c r="AB221" s="117"/>
      <c r="AC221" s="117"/>
      <c r="AD221" s="117"/>
      <c r="AE221" s="117"/>
      <c r="AF221" s="117"/>
      <c r="AG221" s="117"/>
      <c r="AH221" s="117"/>
      <c r="AI221" s="117"/>
      <c r="AJ221" s="117"/>
      <c r="AK221" s="117"/>
      <c r="AL221" s="338">
        <f>AM221/1.12</f>
        <v>1888.4487589285711</v>
      </c>
      <c r="AM221" s="129">
        <v>2115.0626099999999</v>
      </c>
      <c r="AN221" s="117"/>
      <c r="AO221" s="64">
        <f>AL221-$AI$218/$AK$217*AN220+AQ220*$AI$218/$AK$217</f>
        <v>-2012.8390459494778</v>
      </c>
      <c r="AP221" s="64">
        <f>AO221*1.12</f>
        <v>-2254.3797314634153</v>
      </c>
      <c r="AQ221" s="62"/>
      <c r="AR221" s="43" t="str">
        <f>IF(AI221=0,"",AL221/AI221)</f>
        <v/>
      </c>
      <c r="AS221" s="115"/>
      <c r="AT221" s="115">
        <f>AL221</f>
        <v>1888.4487589285711</v>
      </c>
      <c r="AU221" s="115"/>
      <c r="AV221" s="64">
        <f>ROUND(P221/1000,0)</f>
        <v>3400</v>
      </c>
      <c r="AW221" s="62">
        <f>AV221*1.12</f>
        <v>3808.0000000000005</v>
      </c>
      <c r="AX221" s="62"/>
      <c r="AY221" s="64"/>
      <c r="AZ221" s="64"/>
      <c r="BA221" s="64"/>
      <c r="BB221" s="64"/>
      <c r="BC221" s="64"/>
      <c r="BD221" s="64"/>
      <c r="BE221" s="64"/>
      <c r="BF221" s="62"/>
      <c r="BG221" s="64"/>
      <c r="BH221" s="64"/>
      <c r="BI221" s="64"/>
      <c r="BJ221" s="64"/>
      <c r="BK221" s="64"/>
      <c r="BL221" s="64"/>
      <c r="BM221" s="138"/>
      <c r="BN221" s="138"/>
      <c r="BO221" s="138"/>
      <c r="BP221" s="138"/>
      <c r="BQ221" s="138"/>
      <c r="BR221" s="138"/>
      <c r="BS221" s="138"/>
      <c r="BT221" s="138"/>
      <c r="BW221" s="329"/>
      <c r="BX221" s="328"/>
    </row>
    <row r="222" spans="1:76" s="320" customFormat="1" x14ac:dyDescent="0.25">
      <c r="A222" s="200"/>
      <c r="B222" s="216"/>
      <c r="C222" s="187" t="s">
        <v>6</v>
      </c>
      <c r="D222" s="187" t="s">
        <v>5</v>
      </c>
      <c r="E222" s="137"/>
      <c r="F222" s="137"/>
      <c r="G222" s="197"/>
      <c r="H222" s="196"/>
      <c r="I222" s="260"/>
      <c r="J222" s="260"/>
      <c r="K222" s="337"/>
      <c r="L222" s="336"/>
      <c r="M222" s="268"/>
      <c r="N222" s="50">
        <f>P222</f>
        <v>3399907.2857142854</v>
      </c>
      <c r="O222" s="50">
        <f>Q222</f>
        <v>3807896.16</v>
      </c>
      <c r="P222" s="50">
        <f>Q222/1.12</f>
        <v>3399907.2857142854</v>
      </c>
      <c r="Q222" s="50">
        <f>Q220</f>
        <v>3807896.16</v>
      </c>
      <c r="R222" s="56"/>
      <c r="S222" s="313"/>
      <c r="T222" s="312"/>
      <c r="U222" s="312"/>
      <c r="V222" s="312"/>
      <c r="W222" s="312"/>
      <c r="X222" s="312"/>
      <c r="Y222" s="312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>
        <f>AL221</f>
        <v>1888.4487589285711</v>
      </c>
      <c r="AM222" s="44">
        <f>AM221</f>
        <v>2115.0626099999999</v>
      </c>
      <c r="AN222" s="103"/>
      <c r="AO222" s="44">
        <f>AO221</f>
        <v>-2012.8390459494778</v>
      </c>
      <c r="AP222" s="44">
        <f>AP221</f>
        <v>-2254.3797314634153</v>
      </c>
      <c r="AQ222" s="41"/>
      <c r="AR222" s="324" t="str">
        <f>IF(AI222=0,"",AL222/AI222)</f>
        <v/>
      </c>
      <c r="AS222" s="101"/>
      <c r="AT222" s="101">
        <f>AL222</f>
        <v>1888.4487589285711</v>
      </c>
      <c r="AU222" s="101"/>
      <c r="AV222" s="44">
        <f>AV221</f>
        <v>3400</v>
      </c>
      <c r="AW222" s="41">
        <f>AV222*1.12</f>
        <v>3808.0000000000005</v>
      </c>
      <c r="AX222" s="41"/>
      <c r="AY222" s="64"/>
      <c r="AZ222" s="64"/>
      <c r="BA222" s="64"/>
      <c r="BB222" s="64"/>
      <c r="BC222" s="64"/>
      <c r="BD222" s="64"/>
      <c r="BE222" s="64"/>
      <c r="BF222" s="62"/>
      <c r="BG222" s="64"/>
      <c r="BH222" s="64"/>
      <c r="BI222" s="64"/>
      <c r="BJ222" s="64"/>
      <c r="BK222" s="64"/>
      <c r="BL222" s="64"/>
      <c r="BM222" s="138"/>
      <c r="BN222" s="138"/>
      <c r="BO222" s="138"/>
      <c r="BP222" s="138"/>
      <c r="BQ222" s="138"/>
      <c r="BR222" s="138"/>
      <c r="BS222" s="138"/>
      <c r="BT222" s="138"/>
      <c r="BW222" s="322"/>
      <c r="BX222" s="321"/>
    </row>
    <row r="223" spans="1:76" s="201" customFormat="1" ht="17.25" customHeight="1" x14ac:dyDescent="0.25">
      <c r="A223" s="200"/>
      <c r="B223" s="216"/>
      <c r="C223" s="214" t="s">
        <v>9</v>
      </c>
      <c r="D223" s="214" t="s">
        <v>8</v>
      </c>
      <c r="E223" s="213"/>
      <c r="F223" s="213">
        <f>E223*1.12</f>
        <v>0</v>
      </c>
      <c r="G223" s="197"/>
      <c r="H223" s="196"/>
      <c r="I223" s="212"/>
      <c r="J223" s="212"/>
      <c r="K223" s="118" t="s">
        <v>55</v>
      </c>
      <c r="L223" s="335" t="s">
        <v>89</v>
      </c>
      <c r="M223" s="268" t="s">
        <v>13</v>
      </c>
      <c r="N223" s="210">
        <f>P223</f>
        <v>139395000</v>
      </c>
      <c r="O223" s="210">
        <f>Q223</f>
        <v>156122400</v>
      </c>
      <c r="P223" s="210">
        <f>Q223/1.12</f>
        <v>139395000</v>
      </c>
      <c r="Q223" s="210">
        <v>156122400</v>
      </c>
      <c r="R223" s="113" t="s">
        <v>32</v>
      </c>
      <c r="S223" s="313">
        <v>123</v>
      </c>
      <c r="T223" s="315"/>
      <c r="U223" s="315"/>
      <c r="V223" s="315"/>
      <c r="W223" s="315"/>
      <c r="X223" s="315"/>
      <c r="Y223" s="315"/>
      <c r="Z223" s="206"/>
      <c r="AA223" s="206"/>
      <c r="AB223" s="206"/>
      <c r="AC223" s="206"/>
      <c r="AD223" s="206"/>
      <c r="AE223" s="206"/>
      <c r="AF223" s="206"/>
      <c r="AG223" s="206"/>
      <c r="AH223" s="206"/>
      <c r="AI223" s="206"/>
      <c r="AJ223" s="206"/>
      <c r="AK223" s="206"/>
      <c r="AL223" s="206">
        <v>141460</v>
      </c>
      <c r="AM223" s="203">
        <f>AL223*1.12</f>
        <v>158435.20000000001</v>
      </c>
      <c r="AN223" s="206">
        <f>6+37+44+36</f>
        <v>123</v>
      </c>
      <c r="AO223" s="203">
        <f>AL223-$AI$217/$AK$217*AN223+AQ223*$AI$217/$AK$217</f>
        <v>-44849</v>
      </c>
      <c r="AP223" s="203">
        <f>AO223*1.12</f>
        <v>-50230.880000000005</v>
      </c>
      <c r="AQ223" s="203">
        <f>AN223-S223</f>
        <v>0</v>
      </c>
      <c r="AR223" s="205" t="str">
        <f>IF(AI223=0,"",AL223/AI223)</f>
        <v/>
      </c>
      <c r="AS223" s="204"/>
      <c r="AT223" s="204"/>
      <c r="AU223" s="204"/>
      <c r="AV223" s="203">
        <f>E217-AV217-AV220</f>
        <v>240250</v>
      </c>
      <c r="AW223" s="203">
        <f>AV223*1.12</f>
        <v>269080</v>
      </c>
      <c r="AX223" s="203">
        <f>H217-AX217-AX220</f>
        <v>143</v>
      </c>
      <c r="AY223" s="203">
        <f>$AI$217/$AK$217*AQ223</f>
        <v>0</v>
      </c>
      <c r="AZ223" s="203">
        <f>AL223-$AI$217/$AK$217*AN223</f>
        <v>-44849</v>
      </c>
      <c r="BA223" s="203"/>
      <c r="BB223" s="203"/>
      <c r="BC223" s="203"/>
      <c r="BD223" s="203"/>
      <c r="BE223" s="203"/>
      <c r="BF223" s="203"/>
      <c r="BG223" s="203"/>
      <c r="BH223" s="203"/>
      <c r="BI223" s="203"/>
      <c r="BJ223" s="203"/>
      <c r="BK223" s="203"/>
      <c r="BL223" s="203"/>
      <c r="BM223" s="334"/>
      <c r="BN223" s="334"/>
      <c r="BO223" s="202"/>
      <c r="BP223" s="202"/>
      <c r="BQ223" s="202"/>
      <c r="BR223" s="334"/>
      <c r="BS223" s="334"/>
      <c r="BT223" s="202"/>
      <c r="BW223" s="202"/>
      <c r="BX223" s="314"/>
    </row>
    <row r="224" spans="1:76" s="327" customFormat="1" ht="17.25" customHeight="1" x14ac:dyDescent="0.25">
      <c r="A224" s="200"/>
      <c r="B224" s="216"/>
      <c r="C224" s="199" t="s">
        <v>6</v>
      </c>
      <c r="D224" s="199" t="s">
        <v>26</v>
      </c>
      <c r="E224" s="129"/>
      <c r="F224" s="129">
        <f>E224*1.12</f>
        <v>0</v>
      </c>
      <c r="G224" s="197"/>
      <c r="H224" s="196"/>
      <c r="I224" s="128"/>
      <c r="J224" s="128"/>
      <c r="K224" s="194"/>
      <c r="L224" s="333"/>
      <c r="M224" s="268"/>
      <c r="N224" s="50">
        <f>P224</f>
        <v>139395000</v>
      </c>
      <c r="O224" s="50">
        <f>Q224</f>
        <v>156122400</v>
      </c>
      <c r="P224" s="51">
        <f>Q224/1.12</f>
        <v>139395000</v>
      </c>
      <c r="Q224" s="332">
        <f>Q223</f>
        <v>156122400</v>
      </c>
      <c r="R224" s="113"/>
      <c r="S224" s="313"/>
      <c r="T224" s="312"/>
      <c r="U224" s="312"/>
      <c r="V224" s="312"/>
      <c r="W224" s="312"/>
      <c r="X224" s="312"/>
      <c r="Y224" s="312"/>
      <c r="Z224" s="117"/>
      <c r="AA224" s="117"/>
      <c r="AB224" s="117"/>
      <c r="AC224" s="117"/>
      <c r="AD224" s="117"/>
      <c r="AE224" s="117"/>
      <c r="AF224" s="117"/>
      <c r="AG224" s="117"/>
      <c r="AH224" s="117"/>
      <c r="AI224" s="117"/>
      <c r="AJ224" s="117"/>
      <c r="AK224" s="117"/>
      <c r="AL224" s="331">
        <f>7019.01607/1.12+39745.49846/1.12</f>
        <v>41754.030830357144</v>
      </c>
      <c r="AM224" s="64">
        <f>AL224*1.12</f>
        <v>46764.514530000008</v>
      </c>
      <c r="AN224" s="117"/>
      <c r="AO224" s="64">
        <f>AL224-$AI$218/$AK$217*AN223+AQ223*$AI$218/$AK$217</f>
        <v>-118198.76916964288</v>
      </c>
      <c r="AP224" s="64">
        <f>AO224*1.12</f>
        <v>-132382.62147000004</v>
      </c>
      <c r="AQ224" s="62"/>
      <c r="AR224" s="43" t="str">
        <f>IF(AI224=0,"",AL224/AI224)</f>
        <v/>
      </c>
      <c r="AS224" s="115"/>
      <c r="AT224" s="115">
        <f>AL224</f>
        <v>41754.030830357144</v>
      </c>
      <c r="AU224" s="115"/>
      <c r="AV224" s="64">
        <f>E218-AV218-AV221</f>
        <v>240250</v>
      </c>
      <c r="AW224" s="62">
        <f>AV224*1.12</f>
        <v>269080</v>
      </c>
      <c r="AX224" s="64"/>
      <c r="AY224" s="64"/>
      <c r="AZ224" s="64"/>
      <c r="BA224" s="64"/>
      <c r="BB224" s="64"/>
      <c r="BC224" s="64"/>
      <c r="BD224" s="64"/>
      <c r="BE224" s="64"/>
      <c r="BF224" s="62"/>
      <c r="BG224" s="64"/>
      <c r="BH224" s="64"/>
      <c r="BI224" s="64"/>
      <c r="BJ224" s="64"/>
      <c r="BK224" s="64"/>
      <c r="BL224" s="64"/>
      <c r="BM224" s="330"/>
      <c r="BN224" s="330"/>
      <c r="BO224" s="329"/>
      <c r="BP224" s="329"/>
      <c r="BQ224" s="329"/>
      <c r="BR224" s="330"/>
      <c r="BS224" s="330"/>
      <c r="BT224" s="329"/>
      <c r="BW224" s="329"/>
      <c r="BX224" s="328"/>
    </row>
    <row r="225" spans="1:76" s="320" customFormat="1" ht="17.25" customHeight="1" x14ac:dyDescent="0.25">
      <c r="A225" s="200"/>
      <c r="B225" s="216"/>
      <c r="C225" s="187" t="s">
        <v>6</v>
      </c>
      <c r="D225" s="187" t="s">
        <v>5</v>
      </c>
      <c r="E225" s="137"/>
      <c r="F225" s="137">
        <f>E225*1.12</f>
        <v>0</v>
      </c>
      <c r="G225" s="197"/>
      <c r="H225" s="196"/>
      <c r="I225" s="260"/>
      <c r="J225" s="260"/>
      <c r="K225" s="105"/>
      <c r="L225" s="326"/>
      <c r="M225" s="268"/>
      <c r="N225" s="50">
        <f>P225</f>
        <v>139395000</v>
      </c>
      <c r="O225" s="50">
        <f>Q225</f>
        <v>156122400</v>
      </c>
      <c r="P225" s="50">
        <f>Q225/1.12</f>
        <v>139395000</v>
      </c>
      <c r="Q225" s="325">
        <f>Q224</f>
        <v>156122400</v>
      </c>
      <c r="R225" s="113"/>
      <c r="S225" s="313"/>
      <c r="T225" s="312"/>
      <c r="U225" s="312"/>
      <c r="V225" s="312"/>
      <c r="W225" s="312"/>
      <c r="X225" s="312"/>
      <c r="Y225" s="312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>
        <f>AL224</f>
        <v>41754.030830357144</v>
      </c>
      <c r="AM225" s="44">
        <f>AM224</f>
        <v>46764.514530000008</v>
      </c>
      <c r="AN225" s="103"/>
      <c r="AO225" s="44">
        <f>AO224</f>
        <v>-118198.76916964288</v>
      </c>
      <c r="AP225" s="44">
        <f>AP224</f>
        <v>-132382.62147000004</v>
      </c>
      <c r="AQ225" s="41"/>
      <c r="AR225" s="324" t="str">
        <f>IF(AI225=0,"",AL225/AI225)</f>
        <v/>
      </c>
      <c r="AS225" s="101"/>
      <c r="AT225" s="101">
        <f>AL225</f>
        <v>41754.030830357144</v>
      </c>
      <c r="AU225" s="101"/>
      <c r="AV225" s="44">
        <f>AV224</f>
        <v>240250</v>
      </c>
      <c r="AW225" s="41">
        <f>AV225*1.12</f>
        <v>269080</v>
      </c>
      <c r="AX225" s="44"/>
      <c r="AY225" s="44"/>
      <c r="AZ225" s="44"/>
      <c r="BA225" s="44"/>
      <c r="BB225" s="44"/>
      <c r="BC225" s="44"/>
      <c r="BD225" s="44"/>
      <c r="BE225" s="44"/>
      <c r="BF225" s="41"/>
      <c r="BG225" s="44"/>
      <c r="BH225" s="44"/>
      <c r="BI225" s="44"/>
      <c r="BJ225" s="44"/>
      <c r="BK225" s="44"/>
      <c r="BL225" s="44"/>
      <c r="BM225" s="323"/>
      <c r="BN225" s="323"/>
      <c r="BO225" s="322"/>
      <c r="BP225" s="322"/>
      <c r="BQ225" s="322"/>
      <c r="BR225" s="323"/>
      <c r="BS225" s="323"/>
      <c r="BT225" s="322"/>
      <c r="BW225" s="322"/>
      <c r="BX225" s="321"/>
    </row>
    <row r="226" spans="1:76" s="201" customFormat="1" ht="18.75" customHeight="1" x14ac:dyDescent="0.25">
      <c r="A226" s="200"/>
      <c r="B226" s="216"/>
      <c r="C226" s="214" t="s">
        <v>9</v>
      </c>
      <c r="D226" s="214" t="s">
        <v>8</v>
      </c>
      <c r="E226" s="213"/>
      <c r="F226" s="213"/>
      <c r="G226" s="197"/>
      <c r="H226" s="196"/>
      <c r="I226" s="212"/>
      <c r="J226" s="212"/>
      <c r="K226" s="238" t="s">
        <v>34</v>
      </c>
      <c r="L226" s="237" t="s">
        <v>88</v>
      </c>
      <c r="M226" s="211" t="s">
        <v>13</v>
      </c>
      <c r="N226" s="210">
        <f>P226</f>
        <v>4397213.4196428573</v>
      </c>
      <c r="O226" s="210">
        <f>Q226</f>
        <v>4924879.03</v>
      </c>
      <c r="P226" s="210">
        <f>Q226/1.12</f>
        <v>4397213.4196428573</v>
      </c>
      <c r="Q226" s="210">
        <v>4924879.03</v>
      </c>
      <c r="R226" s="113" t="s">
        <v>87</v>
      </c>
      <c r="S226" s="104">
        <v>4</v>
      </c>
      <c r="T226" s="315"/>
      <c r="U226" s="315"/>
      <c r="V226" s="315"/>
      <c r="W226" s="315"/>
      <c r="X226" s="315"/>
      <c r="Y226" s="315"/>
      <c r="Z226" s="206"/>
      <c r="AA226" s="206"/>
      <c r="AB226" s="206"/>
      <c r="AC226" s="206"/>
      <c r="AD226" s="206"/>
      <c r="AE226" s="206"/>
      <c r="AF226" s="206"/>
      <c r="AG226" s="206"/>
      <c r="AH226" s="206"/>
      <c r="AI226" s="206"/>
      <c r="AJ226" s="206"/>
      <c r="AK226" s="206"/>
      <c r="AL226" s="206">
        <v>2852</v>
      </c>
      <c r="AM226" s="203">
        <f>AL226*1.12</f>
        <v>3194.2400000000002</v>
      </c>
      <c r="AN226" s="206">
        <f>4</f>
        <v>4</v>
      </c>
      <c r="AO226" s="203">
        <f>AL226-$AI$217/$AK$217*AN226+AQ226*$AI$217/$AK$217</f>
        <v>-3206.8292682926831</v>
      </c>
      <c r="AP226" s="203">
        <f>AO226*1.12</f>
        <v>-3591.6487804878052</v>
      </c>
      <c r="AQ226" s="203">
        <f>AN226-S226</f>
        <v>0</v>
      </c>
      <c r="AR226" s="205" t="str">
        <f>IF(AI226=0,"",AL226/AI226)</f>
        <v/>
      </c>
      <c r="AS226" s="204"/>
      <c r="AT226" s="204"/>
      <c r="AU226" s="204"/>
      <c r="AV226" s="203"/>
      <c r="AW226" s="203">
        <f>AV226*1.12</f>
        <v>0</v>
      </c>
      <c r="AX226" s="203"/>
      <c r="AY226" s="203">
        <f>$AI$217/$AK$217*AQ226</f>
        <v>0</v>
      </c>
      <c r="AZ226" s="203">
        <f>AL226-$AI$217/$AK$217*AN226</f>
        <v>-3206.8292682926831</v>
      </c>
      <c r="BA226" s="203"/>
      <c r="BB226" s="203"/>
      <c r="BC226" s="203"/>
      <c r="BD226" s="203"/>
      <c r="BE226" s="203"/>
      <c r="BF226" s="203"/>
      <c r="BG226" s="203"/>
      <c r="BH226" s="203"/>
      <c r="BI226" s="203"/>
      <c r="BJ226" s="203"/>
      <c r="BK226" s="203"/>
      <c r="BL226" s="203"/>
      <c r="BM226" s="202"/>
      <c r="BN226" s="202"/>
      <c r="BO226" s="202"/>
      <c r="BP226" s="202"/>
      <c r="BQ226" s="202"/>
      <c r="BR226" s="202"/>
      <c r="BS226" s="202"/>
      <c r="BT226" s="202"/>
      <c r="BW226" s="202"/>
      <c r="BX226" s="314"/>
    </row>
    <row r="227" spans="1:76" s="57" customFormat="1" ht="18.75" customHeight="1" x14ac:dyDescent="0.25">
      <c r="A227" s="200"/>
      <c r="B227" s="216"/>
      <c r="C227" s="199" t="s">
        <v>6</v>
      </c>
      <c r="D227" s="199" t="s">
        <v>26</v>
      </c>
      <c r="E227" s="198"/>
      <c r="F227" s="198"/>
      <c r="G227" s="197"/>
      <c r="H227" s="196"/>
      <c r="I227" s="195"/>
      <c r="J227" s="195"/>
      <c r="K227" s="236"/>
      <c r="L227" s="235"/>
      <c r="M227" s="193"/>
      <c r="N227" s="50">
        <f>P227</f>
        <v>4397213.4196428573</v>
      </c>
      <c r="O227" s="50">
        <f>Q227</f>
        <v>4924879.03</v>
      </c>
      <c r="P227" s="51">
        <f>Q227/1.12</f>
        <v>4397213.4196428573</v>
      </c>
      <c r="Q227" s="51">
        <f>Q226</f>
        <v>4924879.03</v>
      </c>
      <c r="R227" s="113"/>
      <c r="S227" s="104"/>
      <c r="T227" s="47"/>
      <c r="U227" s="47"/>
      <c r="V227" s="47"/>
      <c r="W227" s="47"/>
      <c r="X227" s="47"/>
      <c r="Y227" s="47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127">
        <f>2807.28278/1.12</f>
        <v>2506.5024821428569</v>
      </c>
      <c r="AM227" s="64">
        <f>AL227*1.12</f>
        <v>2807.28278</v>
      </c>
      <c r="AN227" s="66"/>
      <c r="AO227" s="64">
        <f>AL227-$AI$218/$AK$217*AN226+AQ226*$AI$218/$AK$217</f>
        <v>-2695.214591027875</v>
      </c>
      <c r="AP227" s="64">
        <f>AO227*1.12</f>
        <v>-3018.6403419512203</v>
      </c>
      <c r="AQ227" s="62"/>
      <c r="AR227" s="189" t="str">
        <f>IF(AI227=0,"",AL227/AI227)</f>
        <v/>
      </c>
      <c r="AS227" s="115"/>
      <c r="AT227" s="115">
        <f>AL227</f>
        <v>2506.5024821428569</v>
      </c>
      <c r="AU227" s="63"/>
      <c r="AV227" s="64">
        <f>AL227</f>
        <v>2506.5024821428569</v>
      </c>
      <c r="AW227" s="62">
        <f>AV227*1.12</f>
        <v>2807.28278</v>
      </c>
      <c r="AX227" s="62"/>
      <c r="AY227" s="62"/>
      <c r="AZ227" s="62"/>
      <c r="BA227" s="62"/>
      <c r="BB227" s="62"/>
      <c r="BC227" s="62"/>
      <c r="BD227" s="62"/>
      <c r="BE227" s="62"/>
      <c r="BF227" s="62"/>
      <c r="BG227" s="62"/>
      <c r="BH227" s="62"/>
      <c r="BI227" s="62"/>
      <c r="BJ227" s="62"/>
      <c r="BK227" s="62"/>
      <c r="BL227" s="62"/>
      <c r="BM227" s="59"/>
      <c r="BN227" s="59"/>
      <c r="BO227" s="59"/>
      <c r="BP227" s="59"/>
      <c r="BQ227" s="59"/>
      <c r="BR227" s="59"/>
      <c r="BS227" s="59"/>
      <c r="BT227" s="59"/>
      <c r="BU227" s="57">
        <v>31030466.559999999</v>
      </c>
      <c r="BW227" s="59"/>
      <c r="BX227" s="58"/>
    </row>
    <row r="228" spans="1:76" ht="18.75" customHeight="1" x14ac:dyDescent="0.25">
      <c r="A228" s="200"/>
      <c r="B228" s="216"/>
      <c r="C228" s="187" t="s">
        <v>6</v>
      </c>
      <c r="D228" s="187" t="s">
        <v>5</v>
      </c>
      <c r="E228" s="186"/>
      <c r="F228" s="186"/>
      <c r="G228" s="197"/>
      <c r="H228" s="196"/>
      <c r="I228" s="183"/>
      <c r="J228" s="183"/>
      <c r="K228" s="234"/>
      <c r="L228" s="233"/>
      <c r="M228" s="181"/>
      <c r="N228" s="50">
        <f>P228</f>
        <v>4397213.4196428573</v>
      </c>
      <c r="O228" s="50">
        <f>Q228</f>
        <v>4924879.03</v>
      </c>
      <c r="P228" s="50">
        <f>Q228/1.12</f>
        <v>4397213.4196428573</v>
      </c>
      <c r="Q228" s="180">
        <f>Q227</f>
        <v>4924879.03</v>
      </c>
      <c r="R228" s="113"/>
      <c r="S228" s="104"/>
      <c r="T228" s="47"/>
      <c r="U228" s="47"/>
      <c r="V228" s="47"/>
      <c r="W228" s="47"/>
      <c r="X228" s="47"/>
      <c r="Y228" s="47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103">
        <f>AL227</f>
        <v>2506.5024821428569</v>
      </c>
      <c r="AM228" s="44">
        <f>AL228*1.12</f>
        <v>2807.28278</v>
      </c>
      <c r="AN228" s="46"/>
      <c r="AO228" s="44">
        <f>AO227</f>
        <v>-2695.214591027875</v>
      </c>
      <c r="AP228" s="44">
        <f>AP227</f>
        <v>-3018.6403419512203</v>
      </c>
      <c r="AQ228" s="41"/>
      <c r="AR228" s="178" t="str">
        <f>IF(AI228=0,"",AL228/AI228)</f>
        <v/>
      </c>
      <c r="AS228" s="101"/>
      <c r="AT228" s="101">
        <f>AL228</f>
        <v>2506.5024821428569</v>
      </c>
      <c r="AU228" s="42"/>
      <c r="AV228" s="44">
        <f>AL228</f>
        <v>2506.5024821428569</v>
      </c>
      <c r="AW228" s="41">
        <f>AV228*1.12</f>
        <v>2807.28278</v>
      </c>
      <c r="AX228" s="41"/>
      <c r="AY228" s="41"/>
      <c r="AZ228" s="41"/>
      <c r="BA228" s="41"/>
      <c r="BB228" s="41"/>
      <c r="BC228" s="41"/>
      <c r="BD228" s="41"/>
      <c r="BE228" s="41"/>
      <c r="BF228" s="41"/>
      <c r="BG228" s="41"/>
      <c r="BH228" s="41"/>
      <c r="BI228" s="41"/>
      <c r="BJ228" s="41"/>
      <c r="BK228" s="41"/>
      <c r="BL228" s="41"/>
      <c r="BM228" s="39"/>
      <c r="BN228" s="39"/>
      <c r="BO228" s="39"/>
      <c r="BP228" s="39"/>
      <c r="BQ228" s="39"/>
      <c r="BR228" s="39"/>
      <c r="BS228" s="39"/>
      <c r="BT228" s="39"/>
      <c r="BW228" s="39"/>
      <c r="BX228" s="38"/>
    </row>
    <row r="229" spans="1:76" s="201" customFormat="1" ht="17.25" customHeight="1" x14ac:dyDescent="0.25">
      <c r="A229" s="200"/>
      <c r="B229" s="216"/>
      <c r="C229" s="214" t="s">
        <v>9</v>
      </c>
      <c r="D229" s="214" t="s">
        <v>8</v>
      </c>
      <c r="E229" s="213"/>
      <c r="F229" s="213"/>
      <c r="G229" s="197"/>
      <c r="H229" s="196"/>
      <c r="I229" s="212"/>
      <c r="J229" s="212"/>
      <c r="K229" s="118" t="s">
        <v>40</v>
      </c>
      <c r="L229" s="319" t="s">
        <v>86</v>
      </c>
      <c r="M229" s="268" t="s">
        <v>13</v>
      </c>
      <c r="N229" s="210">
        <f>P229</f>
        <v>9066400</v>
      </c>
      <c r="O229" s="210">
        <f>Q229</f>
        <v>10154368</v>
      </c>
      <c r="P229" s="210">
        <f>Q229/1.12</f>
        <v>9066400</v>
      </c>
      <c r="Q229" s="210">
        <v>10154368</v>
      </c>
      <c r="R229" s="113" t="s">
        <v>85</v>
      </c>
      <c r="S229" s="104">
        <v>8</v>
      </c>
      <c r="T229" s="315"/>
      <c r="U229" s="315"/>
      <c r="V229" s="315"/>
      <c r="W229" s="315"/>
      <c r="X229" s="315"/>
      <c r="Y229" s="315"/>
      <c r="Z229" s="206"/>
      <c r="AA229" s="206"/>
      <c r="AB229" s="206"/>
      <c r="AC229" s="206"/>
      <c r="AD229" s="206"/>
      <c r="AE229" s="206"/>
      <c r="AF229" s="206"/>
      <c r="AG229" s="206"/>
      <c r="AH229" s="206"/>
      <c r="AI229" s="206"/>
      <c r="AJ229" s="206"/>
      <c r="AK229" s="206"/>
      <c r="AL229" s="206">
        <v>5902</v>
      </c>
      <c r="AM229" s="203">
        <f>AL229*1.12</f>
        <v>6610.2400000000007</v>
      </c>
      <c r="AN229" s="206">
        <v>8</v>
      </c>
      <c r="AO229" s="203">
        <f>AL229-$AI$217/$AK$217*AN229</f>
        <v>-6215.6585365853662</v>
      </c>
      <c r="AP229" s="203">
        <f>AO229*1.12</f>
        <v>-6961.5375609756111</v>
      </c>
      <c r="AQ229" s="203">
        <f>AN229-S229</f>
        <v>0</v>
      </c>
      <c r="AR229" s="205" t="str">
        <f>IF(AI229=0,"",AL229/AI229)</f>
        <v/>
      </c>
      <c r="AS229" s="204"/>
      <c r="AT229" s="204"/>
      <c r="AU229" s="204"/>
      <c r="AV229" s="203"/>
      <c r="AW229" s="203">
        <f>AV229*1.12</f>
        <v>0</v>
      </c>
      <c r="AX229" s="203"/>
      <c r="AY229" s="203">
        <f>$AI$217/$AK$217*AQ229</f>
        <v>0</v>
      </c>
      <c r="AZ229" s="203">
        <f>AL229-$AI$217/$AK$217*AN229</f>
        <v>-6215.6585365853662</v>
      </c>
      <c r="BA229" s="203"/>
      <c r="BB229" s="203"/>
      <c r="BC229" s="203"/>
      <c r="BD229" s="203"/>
      <c r="BE229" s="203"/>
      <c r="BF229" s="203"/>
      <c r="BG229" s="203"/>
      <c r="BH229" s="203"/>
      <c r="BI229" s="203"/>
      <c r="BJ229" s="203"/>
      <c r="BK229" s="203"/>
      <c r="BL229" s="203"/>
      <c r="BM229" s="202"/>
      <c r="BN229" s="202"/>
      <c r="BO229" s="202"/>
      <c r="BP229" s="202"/>
      <c r="BQ229" s="202"/>
      <c r="BR229" s="202"/>
      <c r="BS229" s="202"/>
      <c r="BT229" s="202"/>
      <c r="BW229" s="202"/>
      <c r="BX229" s="314"/>
    </row>
    <row r="230" spans="1:76" s="57" customFormat="1" ht="17.25" customHeight="1" x14ac:dyDescent="0.25">
      <c r="A230" s="200"/>
      <c r="B230" s="216"/>
      <c r="C230" s="70" t="s">
        <v>6</v>
      </c>
      <c r="D230" s="199" t="s">
        <v>26</v>
      </c>
      <c r="E230" s="198"/>
      <c r="F230" s="198"/>
      <c r="G230" s="197"/>
      <c r="H230" s="196"/>
      <c r="I230" s="195"/>
      <c r="J230" s="195"/>
      <c r="K230" s="194"/>
      <c r="L230" s="318"/>
      <c r="M230" s="268"/>
      <c r="N230" s="50">
        <f>P230</f>
        <v>9066400</v>
      </c>
      <c r="O230" s="50">
        <f>Q230</f>
        <v>10154368</v>
      </c>
      <c r="P230" s="51">
        <f>Q230/1.12</f>
        <v>9066400</v>
      </c>
      <c r="Q230" s="51">
        <f>Q229</f>
        <v>10154368</v>
      </c>
      <c r="R230" s="113"/>
      <c r="S230" s="104"/>
      <c r="T230" s="47"/>
      <c r="U230" s="47"/>
      <c r="V230" s="47"/>
      <c r="W230" s="47"/>
      <c r="X230" s="47"/>
      <c r="Y230" s="47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317">
        <f>591.0233/1.12+3947.41323/1.12</f>
        <v>4052.1754732142854</v>
      </c>
      <c r="AM230" s="64">
        <f>AL230*1.12</f>
        <v>4538.4365299999999</v>
      </c>
      <c r="AN230" s="66"/>
      <c r="AO230" s="64">
        <f>AL230-$AI$218/$AK$217*AN229+AQ229*$AI$218/$AK$217</f>
        <v>-6351.2586731271786</v>
      </c>
      <c r="AP230" s="64">
        <f>AO230*1.12</f>
        <v>-7113.4097139024407</v>
      </c>
      <c r="AQ230" s="62"/>
      <c r="AR230" s="189" t="str">
        <f>IF(AI230=0,"",AL230/AI230)</f>
        <v/>
      </c>
      <c r="AS230" s="115"/>
      <c r="AT230" s="115">
        <f>AL230</f>
        <v>4052.1754732142854</v>
      </c>
      <c r="AU230" s="63"/>
      <c r="AV230" s="64">
        <f>AL230</f>
        <v>4052.1754732142854</v>
      </c>
      <c r="AW230" s="62">
        <f>AV230*1.12</f>
        <v>4538.4365299999999</v>
      </c>
      <c r="AX230" s="62"/>
      <c r="AY230" s="62"/>
      <c r="AZ230" s="62"/>
      <c r="BA230" s="62"/>
      <c r="BB230" s="62"/>
      <c r="BC230" s="62"/>
      <c r="BD230" s="62"/>
      <c r="BE230" s="62"/>
      <c r="BF230" s="62"/>
      <c r="BG230" s="62"/>
      <c r="BH230" s="62"/>
      <c r="BI230" s="62"/>
      <c r="BJ230" s="62"/>
      <c r="BK230" s="62"/>
      <c r="BL230" s="62"/>
      <c r="BM230" s="59"/>
      <c r="BN230" s="59"/>
      <c r="BO230" s="59"/>
      <c r="BP230" s="59"/>
      <c r="BQ230" s="59"/>
      <c r="BR230" s="59"/>
      <c r="BS230" s="59"/>
      <c r="BT230" s="59"/>
      <c r="BU230" s="57">
        <v>16411374.199999999</v>
      </c>
      <c r="BW230" s="59"/>
      <c r="BX230" s="58"/>
    </row>
    <row r="231" spans="1:76" ht="17.25" customHeight="1" x14ac:dyDescent="0.25">
      <c r="A231" s="200"/>
      <c r="B231" s="216"/>
      <c r="C231" s="53" t="s">
        <v>6</v>
      </c>
      <c r="D231" s="187" t="s">
        <v>5</v>
      </c>
      <c r="E231" s="186"/>
      <c r="F231" s="186"/>
      <c r="G231" s="197"/>
      <c r="H231" s="196"/>
      <c r="I231" s="183"/>
      <c r="J231" s="183"/>
      <c r="K231" s="105"/>
      <c r="L231" s="316"/>
      <c r="M231" s="268"/>
      <c r="N231" s="50">
        <f>P231</f>
        <v>9066400</v>
      </c>
      <c r="O231" s="50">
        <f>Q231</f>
        <v>10154368</v>
      </c>
      <c r="P231" s="50">
        <f>Q231/1.12</f>
        <v>9066400</v>
      </c>
      <c r="Q231" s="50">
        <f>Q230</f>
        <v>10154368</v>
      </c>
      <c r="R231" s="113"/>
      <c r="S231" s="104"/>
      <c r="T231" s="47"/>
      <c r="U231" s="47"/>
      <c r="V231" s="47"/>
      <c r="W231" s="47"/>
      <c r="X231" s="47"/>
      <c r="Y231" s="47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103">
        <f>AL230</f>
        <v>4052.1754732142854</v>
      </c>
      <c r="AM231" s="44">
        <f>AL231*1.12</f>
        <v>4538.4365299999999</v>
      </c>
      <c r="AN231" s="46"/>
      <c r="AO231" s="44">
        <f>AO230</f>
        <v>-6351.2586731271786</v>
      </c>
      <c r="AP231" s="44">
        <f>AP230</f>
        <v>-7113.4097139024407</v>
      </c>
      <c r="AQ231" s="41"/>
      <c r="AR231" s="178" t="str">
        <f>IF(AI231=0,"",AL231/AI231)</f>
        <v/>
      </c>
      <c r="AS231" s="101"/>
      <c r="AT231" s="101">
        <f>AL231</f>
        <v>4052.1754732142854</v>
      </c>
      <c r="AU231" s="42"/>
      <c r="AV231" s="44">
        <f>AL231</f>
        <v>4052.1754732142854</v>
      </c>
      <c r="AW231" s="41">
        <f>AV231*1.12</f>
        <v>4538.4365299999999</v>
      </c>
      <c r="AX231" s="41"/>
      <c r="AY231" s="41"/>
      <c r="AZ231" s="41"/>
      <c r="BA231" s="41"/>
      <c r="BB231" s="41"/>
      <c r="BC231" s="41"/>
      <c r="BD231" s="41"/>
      <c r="BE231" s="41"/>
      <c r="BF231" s="41"/>
      <c r="BG231" s="41"/>
      <c r="BH231" s="41"/>
      <c r="BI231" s="41"/>
      <c r="BJ231" s="41"/>
      <c r="BK231" s="41"/>
      <c r="BL231" s="41"/>
      <c r="BM231" s="39"/>
      <c r="BN231" s="39"/>
      <c r="BO231" s="39"/>
      <c r="BP231" s="39"/>
      <c r="BQ231" s="39"/>
      <c r="BR231" s="39"/>
      <c r="BS231" s="39"/>
      <c r="BT231" s="39"/>
      <c r="BW231" s="39"/>
      <c r="BX231" s="38"/>
    </row>
    <row r="232" spans="1:76" s="201" customFormat="1" ht="17.25" customHeight="1" x14ac:dyDescent="0.25">
      <c r="A232" s="200"/>
      <c r="B232" s="216"/>
      <c r="C232" s="214" t="s">
        <v>9</v>
      </c>
      <c r="D232" s="214" t="s">
        <v>8</v>
      </c>
      <c r="E232" s="213"/>
      <c r="F232" s="213"/>
      <c r="G232" s="197"/>
      <c r="H232" s="196"/>
      <c r="I232" s="212"/>
      <c r="J232" s="212"/>
      <c r="K232" s="118" t="s">
        <v>55</v>
      </c>
      <c r="L232" s="244" t="s">
        <v>84</v>
      </c>
      <c r="M232" s="268" t="s">
        <v>13</v>
      </c>
      <c r="N232" s="210">
        <f>P232</f>
        <v>9066400</v>
      </c>
      <c r="O232" s="210">
        <f>Q232</f>
        <v>10154368</v>
      </c>
      <c r="P232" s="210">
        <f>Q232/1.12</f>
        <v>9066400</v>
      </c>
      <c r="Q232" s="210">
        <f>3807888+6346480</f>
        <v>10154368</v>
      </c>
      <c r="R232" s="113" t="s">
        <v>32</v>
      </c>
      <c r="S232" s="313">
        <f>3+5</f>
        <v>8</v>
      </c>
      <c r="T232" s="315"/>
      <c r="U232" s="315"/>
      <c r="V232" s="315"/>
      <c r="W232" s="315"/>
      <c r="X232" s="315"/>
      <c r="Y232" s="315"/>
      <c r="Z232" s="206"/>
      <c r="AA232" s="206"/>
      <c r="AB232" s="206"/>
      <c r="AC232" s="206"/>
      <c r="AD232" s="206"/>
      <c r="AE232" s="206"/>
      <c r="AF232" s="206"/>
      <c r="AG232" s="206"/>
      <c r="AH232" s="206"/>
      <c r="AI232" s="206"/>
      <c r="AJ232" s="206"/>
      <c r="AK232" s="206"/>
      <c r="AL232" s="206">
        <v>7527</v>
      </c>
      <c r="AM232" s="203">
        <f>AL232*1.12</f>
        <v>8430.2400000000016</v>
      </c>
      <c r="AN232" s="206">
        <v>8</v>
      </c>
      <c r="AO232" s="203">
        <f>$AI$217/$AK$217*AQ232</f>
        <v>0</v>
      </c>
      <c r="AP232" s="203">
        <f>AO232*1.12</f>
        <v>0</v>
      </c>
      <c r="AQ232" s="203">
        <f>AN232-S232</f>
        <v>0</v>
      </c>
      <c r="AR232" s="205" t="str">
        <f>IF(AI232=0,"",AL232/AI232)</f>
        <v/>
      </c>
      <c r="AS232" s="204"/>
      <c r="AT232" s="204"/>
      <c r="AU232" s="204"/>
      <c r="AV232" s="203"/>
      <c r="AW232" s="203">
        <f>AV232*1.12</f>
        <v>0</v>
      </c>
      <c r="AX232" s="203"/>
      <c r="AY232" s="203">
        <f>$AI$217/$AK$217*AQ232</f>
        <v>0</v>
      </c>
      <c r="AZ232" s="203">
        <f>AL232-$AI$217/$AK$217*AN232</f>
        <v>-4590.6585365853662</v>
      </c>
      <c r="BA232" s="203"/>
      <c r="BB232" s="203"/>
      <c r="BC232" s="203"/>
      <c r="BD232" s="203"/>
      <c r="BE232" s="203"/>
      <c r="BF232" s="232"/>
      <c r="BG232" s="203"/>
      <c r="BH232" s="203"/>
      <c r="BI232" s="203"/>
      <c r="BJ232" s="203"/>
      <c r="BK232" s="203"/>
      <c r="BL232" s="203"/>
      <c r="BM232" s="202"/>
      <c r="BN232" s="202"/>
      <c r="BO232" s="202"/>
      <c r="BP232" s="202"/>
      <c r="BQ232" s="202"/>
      <c r="BR232" s="202"/>
      <c r="BS232" s="202"/>
      <c r="BT232" s="202"/>
      <c r="BW232" s="202"/>
      <c r="BX232" s="314"/>
    </row>
    <row r="233" spans="1:76" s="57" customFormat="1" ht="17.25" customHeight="1" x14ac:dyDescent="0.25">
      <c r="A233" s="200"/>
      <c r="B233" s="216"/>
      <c r="C233" s="70" t="s">
        <v>6</v>
      </c>
      <c r="D233" s="199" t="s">
        <v>26</v>
      </c>
      <c r="E233" s="198"/>
      <c r="F233" s="198"/>
      <c r="G233" s="197"/>
      <c r="H233" s="196"/>
      <c r="I233" s="195"/>
      <c r="J233" s="195"/>
      <c r="K233" s="194"/>
      <c r="L233" s="244"/>
      <c r="M233" s="268"/>
      <c r="N233" s="50">
        <f>P233</f>
        <v>9066400</v>
      </c>
      <c r="O233" s="50">
        <f>Q233</f>
        <v>10154368</v>
      </c>
      <c r="P233" s="51">
        <f>Q233/1.12</f>
        <v>9066400</v>
      </c>
      <c r="Q233" s="51">
        <f>Q232</f>
        <v>10154368</v>
      </c>
      <c r="R233" s="113"/>
      <c r="S233" s="313"/>
      <c r="T233" s="312"/>
      <c r="U233" s="312"/>
      <c r="V233" s="312"/>
      <c r="W233" s="312"/>
      <c r="X233" s="312"/>
      <c r="Y233" s="312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117"/>
      <c r="AM233" s="64">
        <f>AL233*1.12</f>
        <v>0</v>
      </c>
      <c r="AN233" s="66"/>
      <c r="AO233" s="64">
        <f>AL233-$AI$218/$AK$217*AN232+AQ232*$AI$218/$AK$217</f>
        <v>-10403.434146341464</v>
      </c>
      <c r="AP233" s="64">
        <f>AO233*1.12</f>
        <v>-11651.846243902441</v>
      </c>
      <c r="AQ233" s="62"/>
      <c r="AR233" s="189" t="str">
        <f>IF(AI233=0,"",AL233/AI233)</f>
        <v/>
      </c>
      <c r="AS233" s="115"/>
      <c r="AT233" s="115">
        <f>AL233</f>
        <v>0</v>
      </c>
      <c r="AU233" s="63"/>
      <c r="AV233" s="64">
        <f>AL233</f>
        <v>0</v>
      </c>
      <c r="AW233" s="62">
        <f>AV233*1.12</f>
        <v>0</v>
      </c>
      <c r="AX233" s="62"/>
      <c r="AY233" s="62"/>
      <c r="AZ233" s="62"/>
      <c r="BA233" s="62"/>
      <c r="BB233" s="62"/>
      <c r="BC233" s="62"/>
      <c r="BD233" s="62"/>
      <c r="BE233" s="62"/>
      <c r="BF233" s="62"/>
      <c r="BG233" s="62"/>
      <c r="BH233" s="62"/>
      <c r="BI233" s="62"/>
      <c r="BJ233" s="62"/>
      <c r="BK233" s="62"/>
      <c r="BL233" s="62"/>
      <c r="BM233" s="59"/>
      <c r="BN233" s="59"/>
      <c r="BO233" s="59"/>
      <c r="BP233" s="59"/>
      <c r="BQ233" s="59"/>
      <c r="BR233" s="59"/>
      <c r="BS233" s="59"/>
      <c r="BT233" s="59"/>
      <c r="BU233" s="57">
        <v>11562480</v>
      </c>
      <c r="BW233" s="59"/>
      <c r="BX233" s="58"/>
    </row>
    <row r="234" spans="1:76" ht="17.25" customHeight="1" x14ac:dyDescent="0.25">
      <c r="A234" s="55"/>
      <c r="B234" s="215"/>
      <c r="C234" s="53" t="s">
        <v>6</v>
      </c>
      <c r="D234" s="187" t="s">
        <v>5</v>
      </c>
      <c r="E234" s="186"/>
      <c r="F234" s="186"/>
      <c r="G234" s="185"/>
      <c r="H234" s="184"/>
      <c r="I234" s="183"/>
      <c r="J234" s="183"/>
      <c r="K234" s="105"/>
      <c r="L234" s="244"/>
      <c r="M234" s="268"/>
      <c r="N234" s="50">
        <f>P234</f>
        <v>9066400</v>
      </c>
      <c r="O234" s="50">
        <f>Q234</f>
        <v>10154368</v>
      </c>
      <c r="P234" s="50">
        <f>Q234/1.12</f>
        <v>9066400</v>
      </c>
      <c r="Q234" s="50">
        <f>Q233</f>
        <v>10154368</v>
      </c>
      <c r="R234" s="113"/>
      <c r="S234" s="313"/>
      <c r="T234" s="312"/>
      <c r="U234" s="312"/>
      <c r="V234" s="312"/>
      <c r="W234" s="312"/>
      <c r="X234" s="312"/>
      <c r="Y234" s="312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103">
        <f>AL233</f>
        <v>0</v>
      </c>
      <c r="AM234" s="44">
        <f>AL234*1.12</f>
        <v>0</v>
      </c>
      <c r="AN234" s="46"/>
      <c r="AO234" s="44">
        <f>AO233</f>
        <v>-10403.434146341464</v>
      </c>
      <c r="AP234" s="44">
        <f>AP233</f>
        <v>-11651.846243902441</v>
      </c>
      <c r="AQ234" s="41"/>
      <c r="AR234" s="178" t="str">
        <f>IF(AI234=0,"",AL234/AI234)</f>
        <v/>
      </c>
      <c r="AS234" s="101"/>
      <c r="AT234" s="101">
        <f>AL234</f>
        <v>0</v>
      </c>
      <c r="AU234" s="42"/>
      <c r="AV234" s="44">
        <f>AL234</f>
        <v>0</v>
      </c>
      <c r="AW234" s="41">
        <f>AV234*1.12</f>
        <v>0</v>
      </c>
      <c r="AX234" s="41"/>
      <c r="AY234" s="41"/>
      <c r="AZ234" s="41"/>
      <c r="BA234" s="41"/>
      <c r="BB234" s="41"/>
      <c r="BC234" s="41"/>
      <c r="BD234" s="41"/>
      <c r="BE234" s="41"/>
      <c r="BF234" s="41"/>
      <c r="BG234" s="41"/>
      <c r="BH234" s="41"/>
      <c r="BI234" s="41"/>
      <c r="BJ234" s="41"/>
      <c r="BK234" s="41"/>
      <c r="BL234" s="41"/>
      <c r="BM234" s="39"/>
      <c r="BN234" s="39"/>
      <c r="BO234" s="39"/>
      <c r="BP234" s="39"/>
      <c r="BQ234" s="39"/>
      <c r="BR234" s="39"/>
      <c r="BS234" s="39"/>
      <c r="BT234" s="39"/>
      <c r="BW234" s="39"/>
      <c r="BX234" s="38"/>
    </row>
    <row r="235" spans="1:76" s="288" customFormat="1" ht="17.25" customHeight="1" x14ac:dyDescent="0.25">
      <c r="A235" s="306"/>
      <c r="B235" s="305"/>
      <c r="C235" s="304"/>
      <c r="D235" s="304"/>
      <c r="E235" s="294">
        <f>E237+E240+E243+E246+E249+E252+E255+E258+E261+E264+E267+E270+E294+E273+E276+E279+E282+E285+E288+E291+E297+E300+E303+E306+E309+E312+E315+E318+E321+E324+E327+E330+E333+E336+E339</f>
        <v>21598543</v>
      </c>
      <c r="F235" s="294">
        <f>F237+F240+F243+F246+F249+F252+F255+F258+F261+F264+F267+F270+F294+F273+F276+F279+F282+F285+F288+F291+F297+F300+F303+F306+F309+F312+F315+F318+F321+F324+F327+F330+F333+F336+F339</f>
        <v>24190368.160000004</v>
      </c>
      <c r="G235" s="303"/>
      <c r="H235" s="291">
        <f>H237+H240+H243+H246+H249+H252+H255+H258+H261+H264+H267+H270+H294+H273+H276+H279+H282+H285+H288+H291+H297+H300+H303+H306+H309+H312+H315+H318+H321+H324+H327+H330+H333+H336+H339</f>
        <v>3390</v>
      </c>
      <c r="I235" s="294">
        <f>I237+I240+I243+I246+I249+I252+I255+I258+I261+I264+I267+I270+I294+I273+I276+I279+I282+I285+I288+I291+I297+I300+I303+I306+I309+I312+I315+I318+I321+I324+I327+I330+I333+I336+I339</f>
        <v>14287835</v>
      </c>
      <c r="J235" s="294">
        <f>J237+J240+J243+J246+J249+J252+J255+J258+J261+J264+J267+J270+J294+J273+J276+J279+J282+J285+J288+J291+J297+J300+J303+J306+J309+J312+J315+J318+J321+J324+J327+J330+J333+J336+J339</f>
        <v>16002375.200000001</v>
      </c>
      <c r="K235" s="311" t="s">
        <v>83</v>
      </c>
      <c r="L235" s="310"/>
      <c r="M235" s="309"/>
      <c r="N235" s="299">
        <f>N237+N240+N243+N246+N249+N252+N255+N258+N261+N264+N267+N270+N294+N273+N276+N279+N282+N285+N288+N291+N297+N300+N303+N306+N309+N312+N315+N318+N321+N324+N327+N330+N333+N336+N339</f>
        <v>13326106123.354643</v>
      </c>
      <c r="O235" s="299">
        <f>O237+O240+O243+O246+O249+O252+O255+O258+O261+O264+O267+O270+O294+O273+O276+O279+O282+O285+O288+O291+O297+O300+O303+O306+O309+O312+O315+O318+O321+O324+O327+O330+O333+O336+O339</f>
        <v>14892409145.229998</v>
      </c>
      <c r="P235" s="299">
        <f>P237+P240+P243+P246+P249+P252+P255+P258+P261+P264+P267+P270+P294+P273+P276+P279+P282+P285+P288+P291+P297+P300+P303+P306+P309+P312+P315+P318+P321+P324+P327+P330+P333+P336+P339</f>
        <v>14499768366.394644</v>
      </c>
      <c r="Q235" s="299">
        <f>Q237+Q240+Q243+Q246+Q249+Q252+Q255+Q258+Q261+Q264+Q267+Q270+Q294+Q273+Q276+Q279+Q282+Q285+Q288+Q291+Q297+Q300+Q303+Q306+Q309+Q312+Q315+Q318+Q321+Q324+Q327+Q330+Q333+Q336+Q339</f>
        <v>16066071388.269999</v>
      </c>
      <c r="R235" s="305"/>
      <c r="S235" s="297">
        <f>S237+S240+S243+S246+S249+S252+S255+S258+S261+S264+S267+S270+S273+S276+S279+S294+S282+S285+S288+S291+S297+S300+S303+S306+S309+S312+S315+S318+S321+S324+S330+S333+S336+S339</f>
        <v>5590</v>
      </c>
      <c r="T235" s="296"/>
      <c r="U235" s="296"/>
      <c r="V235" s="296"/>
      <c r="W235" s="296"/>
      <c r="X235" s="296"/>
      <c r="Y235" s="296"/>
      <c r="Z235" s="294">
        <f>Z237+Z240+Z243+Z246+Z249+Z252+Z255+Z258+Z261+Z264+Z267+Z270+Z294+Z273+Z276+Z279+Z282+Z285+Z288+Z291+Z297+Z300+Z303+Z306+Z309+Z312+Z315+Z318+Z321+Z324+Z327+Z330+Z333+Z336+Z339</f>
        <v>0</v>
      </c>
      <c r="AA235" s="294">
        <f>AA237+AA240+AA243+AA246+AA249+AA252+AA255+AA258+AA261+AA264+AA267+AA270+AA294+AA273+AA276+AA279+AA282+AA285+AA288+AA291+AA297+AA300+AA303+AA306+AA309+AA312+AA315+AA318+AA321+AA324+AA327+AA330+AA333+AA336+AA339</f>
        <v>0</v>
      </c>
      <c r="AB235" s="294">
        <f>AB237+AB240+AB243+AB246+AB249+AB252+AB255+AB258+AB261+AB264+AB267+AB270+AB294+AB273+AB276+AB279+AB282+AB285+AB288+AB291+AB297+AB300+AB303+AB306+AB309+AB312+AB315+AB318+AB321+AB324+AB327+AB330+AB333+AB336+AB339</f>
        <v>0</v>
      </c>
      <c r="AC235" s="294">
        <f>AC237+AC240+AC243+AC246+AC249+AC252+AC255+AC258+AC261+AC264+AC267+AC270+AC294+AC273+AC276+AC279+AC282+AC285+AC288+AC291+AC297+AC300+AC303+AC306+AC309+AC312+AC315+AC318+AC321+AC324+AC327+AC330+AC333+AC336+AC339</f>
        <v>5810819</v>
      </c>
      <c r="AD235" s="294">
        <f>AD237+AD240+AD243+AD246+AD249+AD252+AD255+AD258+AD261+AD264+AD267+AD270+AD294+AD273+AD276+AD279+AD282+AD285+AD288+AD291+AD297+AD300+AD303+AD306+AD309+AD312+AD315+AD318+AD321+AD324+AD327+AD330+AD333+AD336+AD339</f>
        <v>6508117.2800000021</v>
      </c>
      <c r="AE235" s="294">
        <f>AE237+AE240+AE243+AE246+AE249+AE252+AE255+AE258+AE261+AE264+AE267+AE270+AE294+AE273+AE276+AE279+AE282+AE285+AE288+AE291+AE297+AE300+AE303+AE306+AE309+AE312+AE315+AE318+AE321+AE324+AE327+AE330+AE333+AE336+AE339</f>
        <v>2200</v>
      </c>
      <c r="AF235" s="294">
        <f>AF237+AF240+AF243+AF246+AF249+AF252+AF255+AF258+AF261+AF264+AF267+AF270+AF294+AF273+AF276+AF279+AF282+AF285+AF288+AF291+AF297+AF300+AF303+AF306+AF309+AF312+AF315+AF318+AF321+AF324+AF327+AF330+AF333+AF336+AF339</f>
        <v>5810819</v>
      </c>
      <c r="AG235" s="294">
        <f>AG237+AG240+AG243+AG246+AG249+AG252+AG255+AG258+AG261+AG264+AG267+AG270+AG294+AG273+AG276+AG279+AG282+AG285+AG288+AG291+AG297+AG300+AG303+AG306+AG309+AG312+AG315+AG318+AG321+AG324+AG327+AG330+AG333+AG336+AG339</f>
        <v>6508117.2800000021</v>
      </c>
      <c r="AH235" s="294">
        <f>AH237+AH240+AH243+AH246+AH249+AH252+AH255+AH258+AH261+AH264+AH267+AH270+AH294+AH273+AH276+AH279+AH282+AH285+AH288+AH291+AH297+AH300+AH303+AH306+AH309+AH312+AH315+AH318+AH321+AH324+AH327+AH330+AH333+AH336+AH339</f>
        <v>2200</v>
      </c>
      <c r="AI235" s="294">
        <f>AI237+AI240+AI243+AI246+AI249+AI252+AI255+AI258+AI261+AI264+AI267+AI270+AI294+AI273+AI276+AI279+AI282+AI285+AI288+AI291+AI297+AI300+AI303+AI306+AI309+AI312+AI315+AI318+AI321+AI324+AI327+AI330+AI333+AI336+AI339</f>
        <v>14287835</v>
      </c>
      <c r="AJ235" s="294">
        <f>AJ237+AJ240+AJ243+AJ246+AJ249+AJ252+AJ255+AJ258+AJ261+AJ264+AJ267+AJ270+AJ294+AJ273+AJ276+AJ279+AJ282+AJ285+AJ288+AJ291+AJ297+AJ300+AJ303+AJ306+AJ309+AJ312+AJ315+AJ318+AJ321+AJ324+AJ327+AJ330+AJ333+AJ336+AJ339</f>
        <v>16002375.200000001</v>
      </c>
      <c r="AK235" s="294">
        <f>AK237+AK240+AK243+AK246+AK249+AK252+AK255+AK258+AK261+AK264+AK267+AK270+AK294+AK273+AK276+AK279+AK282+AK285+AK288+AK291+AK297+AK300+AK303+AK306+AK309+AK312+AK315+AK318+AK321+AK324+AK327+AK330+AK333+AK336+AK339</f>
        <v>3390</v>
      </c>
      <c r="AL235" s="294">
        <f>AL237+AL240+AL243+AL246+AL249+AL252+AL255+AL258+AL261+AL264+AL267+AL270+AL294+AL273+AL276+AL279+AL282+AL285+AL288+AL291+AL297+AL300+AL303+AL306+AL309+AL312+AL315+AL318+AL321+AL324+AL327+AL330+AL333+AL336+AL339</f>
        <v>9382980</v>
      </c>
      <c r="AM235" s="291">
        <f>AM237+AM240+AM243+AM246+AM249+AM252+AM255+AM258+AM261+AM264+AM267+AM270+AM294+AM273+AM276+AM279+AM282+AM285+AM288+AM291+AM297+AM300+AM303+AM306+AM309+AM312+AM315+AM318+AM321+AM324+AM327+AM330+AM333+AM336+AM339</f>
        <v>10508937.6</v>
      </c>
      <c r="AN235" s="294">
        <f>AN237+AN240+AN243+AN246+AN249+AN252+AN255+AN258+AN261+AN264+AN267+AN270+AN294+AN273+AN276+AN279+AN282+AN285+AN288+AN291+AN297+AN300+AN303+AN306+AN309+AN312+AN315+AN318+AN321+AN324+AN327+AN330+AN333+AN336+AN339</f>
        <v>3390</v>
      </c>
      <c r="AO235" s="294">
        <f>AO237+AO240+AO243+AO246+AO249+AO252+AO255+AO258+AO261+AO264+AO267+AO270+AO294+AO273+AO276+AO279+AO282+AO285+AO288+AO291+AO297+AO300+AO303+AO306+AO309+AO312+AO315+AO318+AO321+AO324+AO327+AO330+AO333+AO336+AO339</f>
        <v>-4904855.0000000019</v>
      </c>
      <c r="AP235" s="294">
        <f>AP237+AP240+AP243+AP246+AP249+AP252+AP255+AP258+AP261+AP264+AP267+AP270+AP294+AP273+AP276+AP279+AP282+AP285+AP288+AP291+AP297+AP300+AP303+AP306+AP309+AP312+AP315+AP318+AP321+AP324+AP327+AP330+AP333+AP336+AP339</f>
        <v>-5493437.6000000006</v>
      </c>
      <c r="AQ235" s="294">
        <f>AQ237+AQ240+AQ243+AQ246+AQ249+AQ252+AQ255+AQ258+AQ261+AQ264+AQ267+AQ270+AQ294+AQ273+AQ276+AQ279+AQ282+AQ285+AQ288+AQ291+AQ297+AQ300+AQ303+AQ306+AQ309+AQ312+AQ315+AQ318+AQ321+AQ324+AQ327+AQ330+AQ333+AQ336+AQ339</f>
        <v>0</v>
      </c>
      <c r="AR235" s="293">
        <f>IF(AI235=0,"",AL235/AI235)</f>
        <v>0.65671111123553705</v>
      </c>
      <c r="AS235" s="292">
        <f>AS237+AS240+AS243+AS246+AS249+AS252+AS255+AS258+AS261+AS264+AS267+AS270+AS294+AS273+AS276+AS279+AS282+AS285+AS288+AS291+AS297+AS300+AS303+AS306+AS309+AS312+AS315+AS318+AS321+AS324+AS327+AS330+AS333+AS336+AS339</f>
        <v>0</v>
      </c>
      <c r="AT235" s="292">
        <f>AT237+AT240+AT243+AT246+AT249+AT252+AT255+AT258+AT261+AT264+AT267+AT270+AT294+AT273+AT276+AT279+AT282+AT285+AT288+AT291+AT297+AT300+AT303+AT306+AT309+AT312+AT315+AT318+AT321+AT324+AT327+AT330+AT333+AT336+AT339</f>
        <v>0</v>
      </c>
      <c r="AU235" s="292">
        <f>AU237+AU240+AU243+AU246+AU249+AU252+AU255+AU258+AU261+AU264+AU267+AU270+AU294+AU273+AU276+AU279+AU282+AU285+AU288+AU291+AU297+AU300+AU303+AU306+AU309+AU312+AU315+AU318+AU321+AU324+AU327+AU330+AU333+AU336+AU339</f>
        <v>0</v>
      </c>
      <c r="AV235" s="291">
        <f>AV237+AV240+AV243+AV246+AV249+AV252+AV255+AV258+AV261+AV264+AV267+AV270+AV294+AV273+AV276+AV279+AV282+AV285+AV288+AV291+AV297+AV300+AV303+AV306+AV309+AV312+AV315+AV318+AV321+AV324+AV327+AV330+AV333+AV336+AV339</f>
        <v>12248529.584070796</v>
      </c>
      <c r="AW235" s="291">
        <f>AW237+AW240+AW243+AW246+AW249+AW252+AW255+AW258+AW261+AW264+AW267+AW270+AW294+AW273+AW276+AW279+AW282+AW285+AW288+AW291+AW297+AW300+AW303+AW306+AW309+AW312+AW315+AW318+AW321+AW324+AW327+AW330+AW333+AW336+AW339</f>
        <v>13718353.134159295</v>
      </c>
      <c r="AX235" s="291">
        <f>AX237+AX240+AX243+AX246+AX249+AX252+AX255+AX258+AX261+AX264+AX267+AX270+AX294+AX273+AX276+AX279+AX282+AX285+AX288+AX291+AX297+AX300+AX303+AX306+AX309+AX312+AX315+AX318+AX321+AX324+AX327+AX330+AX333+AX336+AX339</f>
        <v>5582</v>
      </c>
      <c r="AY235" s="291">
        <f>AY237+AY240+AY243+AY246+AY249+AY252+AY255+AY258+AY261+AY264+AY267+AY270+AY294+AY273+AY276+AY279+AY282+AY285+AY288+AY291+AY297+AY300+AY303+AY306+AY309+AY312+AY315+AY318+AY321+AY324+AY327+AY330+AY333+AY336+AY339</f>
        <v>0</v>
      </c>
      <c r="AZ235" s="291">
        <f>AZ237+AZ240+AZ243+AZ246+AZ249+AZ252+AZ255+AZ258+AZ261+AZ264+AZ267+AZ270+AZ294+AZ273+AZ276+AZ279+AZ282+AZ285+AZ288+AZ291+AZ297+AZ300+AZ303+AZ306+AZ309+AZ312+AZ315+AZ318+AZ321+AZ324+AZ327+AZ330+AZ333+AZ336+AZ339</f>
        <v>-4904855.0000000019</v>
      </c>
      <c r="BA235" s="291">
        <f>BA237+BA240+BA243+BA246+BA249+BA252+BA255+BA258+BA261+BA264+BA267+BA270+BA294+BA273+BA276+BA279+BA282+BA285+BA288+BA291+BA297+BA300+BA303+BA306+BA309+BA312+BA315+BA318+BA321+BA324+BA327+BA330+BA333+BA336+BA339</f>
        <v>0</v>
      </c>
      <c r="BB235" s="291">
        <f>BB237+BB240+BB243+BB246+BB249+BB252+BB255+BB258+BB261+BB264+BB267+BB270+BB294+BB273+BB276+BB279+BB282+BB285+BB288+BB291+BB297+BB300+BB303+BB306+BB309+BB312+BB315+BB318+BB321+BB324+BB327+BB330+BB333+BB336+BB339</f>
        <v>0</v>
      </c>
      <c r="BC235" s="291">
        <f>BC237+BC240+BC243+BC246+BC249+BC252+BC255+BC258+BC261+BC264+BC267+BC270+BC294+BC273+BC276+BC279+BC282+BC285+BC288+BC291+BC297+BC300+BC303+BC306+BC309+BC312+BC315+BC318+BC321+BC324+BC327+BC330+BC333+BC336+BC339</f>
        <v>0</v>
      </c>
      <c r="BD235" s="291">
        <f>BD237+BD240+BD243+BD246+BD249+BD252+BD255+BD258+BD261+BD264+BD267+BD270+BD294+BD273+BD276+BD279+BD282+BD285+BD288+BD291+BD297+BD300+BD303+BD306+BD309+BD312+BD315+BD318+BD321+BD324+BD327+BD330+BD333+BD336+BD339</f>
        <v>0</v>
      </c>
      <c r="BE235" s="291">
        <f>BE237+BE240+BE243+BE246+BE249+BE252+BE255+BE258+BE261+BE264+BE267+BE270+BE294+BE273+BE276+BE279+BE282+BE285+BE288+BE291+BE297+BE300+BE303+BE306+BE309+BE312+BE315+BE318+BE321+BE324+BE327+BE330+BE333+BE336+BE339</f>
        <v>0</v>
      </c>
      <c r="BF235" s="291">
        <f>BF237+BF240+BF243+BF246+BF249+BF252+BF255+BF258+BF261+BF264+BF267+BF270+BF294+BF273+BF276+BF279+BF282+BF285+BF288+BF291+BF297+BF300+BF303+BF306+BF309+BF312+BF315+BF318+BF321+BF324+BF327+BF330+BF333+BF336+BF339</f>
        <v>0</v>
      </c>
      <c r="BG235" s="291">
        <f>BG237+BG240+BG243+BG246+BG249+BG252+BG255+BG258+BG261+BG264+BG267+BG270+BG294+BG273+BG276+BG279+BG282+BG285+BG288+BG291+BG297+BG300+BG303+BG306+BG309+BG312+BG315+BG318+BG321+BG324+BG327+BG330+BG333+BG336+BG339</f>
        <v>0</v>
      </c>
      <c r="BH235" s="291">
        <f>BH237+BH240+BH243+BH246+BH249+BH252+BH255+BH258+BH261+BH264+BH267+BH270+BH294+BH273+BH276+BH279+BH282+BH285+BH288+BH291+BH297+BH300+BH303+BH306+BH309+BH312+BH315+BH318+BH321+BH324+BH327+BH330+BH333+BH336+BH339</f>
        <v>0</v>
      </c>
      <c r="BI235" s="291">
        <f>BI237+BI240+BI243+BI246+BI249+BI252+BI255+BI258+BI261+BI264+BI267+BI270+BI294+BI273+BI276+BI279+BI282+BI285+BI288+BI291+BI297+BI300+BI303+BI306+BI309+BI312+BI315+BI318+BI321+BI324+BI327+BI330+BI333+BI336+BI339</f>
        <v>0</v>
      </c>
      <c r="BJ235" s="291">
        <f>BJ237+BJ240+BJ243+BJ246+BJ249+BJ252+BJ255+BJ258+BJ261+BJ264+BJ267+BJ270+BJ294+BJ273+BJ276+BJ279+BJ282+BJ285+BJ288+BJ291+BJ297+BJ300+BJ303+BJ306+BJ309+BJ312+BJ315+BJ318+BJ321+BJ324+BJ327+BJ330+BJ333+BJ336+BJ339</f>
        <v>0</v>
      </c>
      <c r="BK235" s="291">
        <f>BK237+BK240+BK243+BK246+BK249+BK252+BK255+BK258+BK261+BK264+BK267+BK270+BK294+BK273+BK276+BK279+BK282+BK285+BK288+BK291+BK297+BK300+BK303+BK306+BK309+BK312+BK315+BK318+BK321+BK324+BK327+BK330+BK333+BK336+BK339</f>
        <v>0</v>
      </c>
      <c r="BL235" s="291">
        <f>BL237+BL240+BL243+BL246+BL249+BL252+BL255+BL258+BL261+BL264+BL267+BL270+BL294+BL273+BL276+BL279+BL282+BL285+BL288+BL291+BL297+BL300+BL303+BL306+BL309+BL312+BL315+BL318+BL321+BL324+BL327+BL330+BL333+BL336+BL339</f>
        <v>0</v>
      </c>
      <c r="BM235" s="290" t="s">
        <v>82</v>
      </c>
      <c r="BN235" s="290"/>
      <c r="BO235" s="291">
        <f>BO237+BO240+BO243+BO246+BO249+BO252+BO255+BO258+BO261+BO264+BO267+BO270+BO294+BO273+BO276+BO279+BO282+BO285+BO288+BO291+BO297+BO300+BO303+BO306+BO309+BO312+BO315+BO318+BO321+BO324+BO327+BO330+BO333+BO336+BO339</f>
        <v>0</v>
      </c>
      <c r="BP235" s="291">
        <f>BP237+BP240+BP243+BP246+BP249+BP252+BP255+BP258+BP261+BP264+BP267+BP270+BP294+BP273+BP276+BP279+BP282+BP285+BP288+BP291+BP297+BP300+BP303+BP306+BP309+BP312+BP315+BP318+BP321+BP324+BP327+BP330+BP333+BP336+BP339</f>
        <v>0</v>
      </c>
      <c r="BQ235" s="291">
        <f>BQ237+BQ240+BQ243+BQ246+BQ249+BQ252+BQ255+BQ258+BQ261+BQ264+BQ267+BQ270+BQ294+BQ273+BQ276+BQ279+BQ282+BQ285+BQ288+BQ291+BQ297+BQ300+BQ303+BQ306+BQ309+BQ312+BQ315+BQ318+BQ321+BQ324+BQ327+BQ330+BQ333+BQ336+BQ339</f>
        <v>0</v>
      </c>
      <c r="BR235" s="290"/>
      <c r="BS235" s="290"/>
      <c r="BT235" s="290"/>
      <c r="BW235" s="308">
        <f>SUM(AY235:BL235)</f>
        <v>-4904855.0000000019</v>
      </c>
      <c r="BX235" s="307">
        <f>AO235-BW235</f>
        <v>0</v>
      </c>
    </row>
    <row r="236" spans="1:76" s="288" customFormat="1" ht="17.25" customHeight="1" x14ac:dyDescent="0.25">
      <c r="A236" s="306"/>
      <c r="B236" s="305"/>
      <c r="C236" s="304"/>
      <c r="D236" s="304"/>
      <c r="E236" s="294">
        <f>E238+E241+E244+E247+E250+E253+E256+E259+E262+E265+E268+E271+E295+E274+E277+E280+E283+E286+E289+E292+E298+E301+E304+E307+E310+E313+E316+E319+E322+E325+E328+E331+E334+E337+E340</f>
        <v>21469338</v>
      </c>
      <c r="F236" s="294">
        <f>F238+F241+F244+F247+F250+F253+F256+F259+F262+F265+F268+F271+F295+F274+F277+F280+F283+F286+F289+F292+F298+F301+F304+F307+F310+F313+F316+F319+F322+F325+F328+F331+F334+F337+F340</f>
        <v>24045658.560000002</v>
      </c>
      <c r="G236" s="303"/>
      <c r="H236" s="291">
        <f>H238+H241+H244+H247+H250+H253+H256+H259+H262+H265+H268+H271+H295+H274+H277+H280+H283+H286+H289+H292+H298+H301+H304+H307+H310+H313+H316+H319+H322+H325+H328+H331+H334+H337+H340</f>
        <v>0</v>
      </c>
      <c r="I236" s="294">
        <f>I238+I241+I244+I247+I250+I253+I256+I259+I262+I265+I268+I271+I295+I274+I277+I280+I283+I286+I289+I292+I298+I301+I304+I307+I310+I313+I316+I319+I322+I325+I328+I331+I334+I337+I340</f>
        <v>13342399</v>
      </c>
      <c r="J236" s="294">
        <f>J238+J241+J244+J247+J250+J253+J256+J259+J262+J265+J268+J271+J295+J274+J277+J280+J283+J286+J289+J292+J298+J301+J304+J307+J310+J313+J316+J319+J322+J325+J328+J331+J334+J337+J340</f>
        <v>14943486.880000003</v>
      </c>
      <c r="K236" s="302"/>
      <c r="L236" s="301"/>
      <c r="M236" s="300"/>
      <c r="N236" s="299">
        <f>N238+N241+N244+N247+N250+N253+N256+N259+N262+N265+N268+N271+N295+N274+N277+N280+N283+N286+N289+N292+N298+N301+N304+N307+N310+N313+N316+N319+N322+N325+N328+N331+N334+N337+N340</f>
        <v>13326106123.354643</v>
      </c>
      <c r="O236" s="299">
        <f>O238+O241+O244+O247+O250+O253+O256+O259+O262+O265+O268+O271+O295+O274+O277+O280+O283+O286+O289+O292+O298+O301+O304+O307+O310+O313+O316+O319+O322+O325+O328+O331+O334+O337+O340</f>
        <v>14892409145.229998</v>
      </c>
      <c r="P236" s="299">
        <f>P238+P241+P244+P247+P250+P253+P256+P259+P262+P265+P268+P271+P295+P274+P277+P280+P283+P286+P289+P292+P298+P301+P304+P307+P310+P313+P316+P319+P322+P325+P328+P331+P334+P337+P340</f>
        <v>14499768366.394644</v>
      </c>
      <c r="Q236" s="299">
        <f>Q238+Q241+Q244+Q247+Q250+Q253+Q256+Q259+Q262+Q265+Q268+Q271+Q295+Q274+Q277+Q280+Q283+Q286+Q289+Q292+Q298+Q301+Q304+Q307+Q310+Q313+Q316+Q319+Q322+Q325+Q328+Q331+Q334+Q337+Q340</f>
        <v>16066071388.269999</v>
      </c>
      <c r="R236" s="298"/>
      <c r="S236" s="297"/>
      <c r="T236" s="296"/>
      <c r="U236" s="296"/>
      <c r="V236" s="296"/>
      <c r="W236" s="296"/>
      <c r="X236" s="296"/>
      <c r="Y236" s="295"/>
      <c r="Z236" s="294">
        <f>Z238+Z241+Z244+Z247+Z250+Z253+Z256+Z259+Z262+Z265+Z268+Z271+Z295+Z274+Z277+Z280+Z283+Z286+Z289+Z292+Z298+Z301+Z304+Z307+Z310+Z313+Z316+Z319+Z322+Z325+Z328+Z331+Z334+Z337+Z340</f>
        <v>0</v>
      </c>
      <c r="AA236" s="294">
        <f>AA238+AA241+AA244+AA247+AA250+AA253+AA256+AA259+AA262+AA265+AA268+AA271+AA295+AA274+AA277+AA280+AA283+AA286+AA289+AA292+AA298+AA301+AA304+AA307+AA310+AA313+AA316+AA319+AA322+AA325+AA328+AA331+AA334+AA337+AA340</f>
        <v>0</v>
      </c>
      <c r="AB236" s="294">
        <f>AB238+AB241+AB244+AB247+AB250+AB253+AB256+AB259+AB262+AB265+AB268+AB271+AB295+AB274+AB277+AB280+AB283+AB286+AB289+AB292+AB298+AB301+AB304+AB307+AB310+AB313+AB316+AB319+AB322+AB325+AB328+AB331+AB334+AB337+AB340</f>
        <v>0</v>
      </c>
      <c r="AC236" s="294">
        <f>AC238+AC241+AC244+AC247+AC250+AC253+AC256+AC259+AC262+AC265+AC268+AC271+AC295+AC274+AC277+AC280+AC283+AC286+AC289+AC292+AC298+AC301+AC304+AC307+AC310+AC313+AC316+AC319+AC322+AC325+AC328+AC331+AC334+AC337+AC340</f>
        <v>2929094.4984299992</v>
      </c>
      <c r="AD236" s="294">
        <f>AD238+AD241+AD244+AD247+AD250+AD253+AD256+AD259+AD262+AD265+AD268+AD271+AD295+AD274+AD277+AD280+AD283+AD286+AD289+AD292+AD298+AD301+AD304+AD307+AD310+AD313+AD316+AD319+AD322+AD325+AD328+AD331+AD334+AD337+AD340</f>
        <v>3280888.4660100001</v>
      </c>
      <c r="AE236" s="294">
        <f>AE238+AE241+AE244+AE247+AE250+AE253+AE256+AE259+AE262+AE265+AE268+AE271+AE295+AE274+AE277+AE280+AE283+AE286+AE289+AE292+AE298+AE301+AE304+AE307+AE310+AE313+AE316+AE319+AE322+AE325+AE328+AE331+AE334+AE337+AE340</f>
        <v>0</v>
      </c>
      <c r="AF236" s="294">
        <f>AF238+AF241+AF244+AF247+AF250+AF253+AF256+AF259+AF262+AF265+AF268+AF271+AF295+AF274+AF277+AF280+AF283+AF286+AF289+AF292+AF298+AF301+AF304+AF307+AF310+AF313+AF316+AF319+AF322+AF325+AF328+AF331+AF334+AF337+AF340</f>
        <v>2929094.4984299992</v>
      </c>
      <c r="AG236" s="294">
        <f>AG238+AG241+AG244+AG247+AG250+AG253+AG256+AG259+AG262+AG265+AG268+AG271+AG295+AG274+AG277+AG280+AG283+AG286+AG289+AG292+AG298+AG301+AG304+AG307+AG310+AG313+AG316+AG319+AG322+AG325+AG328+AG331+AG334+AG337+AG340</f>
        <v>3280888.4660100001</v>
      </c>
      <c r="AH236" s="294">
        <f>AH238+AH241+AH244+AH247+AH250+AH253+AH256+AH259+AH262+AH265+AH268+AH271+AH295+AH274+AH277+AH280+AH283+AH286+AH289+AH292+AH298+AH301+AH304+AH307+AH310+AH313+AH316+AH319+AH322+AH325+AH328+AH331+AH334+AH337+AH340</f>
        <v>0</v>
      </c>
      <c r="AI236" s="294">
        <f>AI238+AI241+AI244+AI247+AI250+AI253+AI256+AI259+AI262+AI265+AI268+AI271+AI295+AI274+AI277+AI280+AI283+AI286+AI289+AI292+AI298+AI301+AI304+AI307+AI310+AI313+AI316+AI319+AI322+AI325+AI328+AI331+AI334+AI337+AI340</f>
        <v>13342398.836241072</v>
      </c>
      <c r="AJ236" s="294">
        <f>AJ238+AJ241+AJ244+AJ247+AJ250+AJ253+AJ256+AJ259+AJ262+AJ265+AJ268+AJ271+AJ295+AJ274+AJ277+AJ280+AJ283+AJ286+AJ289+AJ292+AJ298+AJ301+AJ304+AJ307+AJ310+AJ313+AJ316+AJ319+AJ322+AJ325+AJ328+AJ331+AJ334+AJ337+AJ340</f>
        <v>14943486.696590003</v>
      </c>
      <c r="AK236" s="294">
        <f>AK238+AK241+AK244+AK247+AK250+AK253+AK256+AK259+AK262+AK265+AK268+AK271+AK295+AK274+AK277+AK280+AK283+AK286+AK289+AK292+AK298+AK301+AK304+AK307+AK310+AK313+AK316+AK319+AK322+AK325+AK328+AK331+AK334+AK337+AK340</f>
        <v>0</v>
      </c>
      <c r="AL236" s="294">
        <f>AL238+AL241+AL244+AL247+AL250+AL253+AL256+AL259+AL262+AL265+AL268+AL271+AL295+AL274+AL277+AL280+AL283+AL286+AL289+AL292+AL298+AL301+AL304+AL307+AL310+AL313+AL316+AL319+AL322+AL325+AL328+AL331+AL334+AL337+AL340</f>
        <v>8099188.6828396413</v>
      </c>
      <c r="AM236" s="291">
        <f>AM238+AM241+AM244+AM247+AM250+AM253+AM256+AM259+AM262+AM265+AM268+AM271+AM295+AM274+AM277+AM280+AM283+AM286+AM289+AM292+AM298+AM301+AM304+AM307+AM310+AM313+AM316+AM319+AM322+AM325+AM328+AM331+AM334+AM337+AM340</f>
        <v>8892434.2764999997</v>
      </c>
      <c r="AN236" s="294">
        <f>AN238+AN241+AN244+AN247+AN250+AN253+AN256+AN259+AN262+AN265+AN268+AN271+AN295+AN274+AN277+AN280+AN283+AN286+AN289+AN292+AN298+AN301+AN304+AN307+AN310+AN313+AN316+AN319+AN322+AN325+AN328+AN331+AN334+AN337+AN340</f>
        <v>0</v>
      </c>
      <c r="AO236" s="294">
        <f>AO238+AO241+AO244+AO247+AO250+AO253+AO256+AO259+AO262+AO265+AO268+AO271+AO295+AO274+AO277+AO280+AO283+AO286+AO289+AO292+AO298+AO301+AO304+AO307+AO310+AO313+AO316+AO319+AO322+AO325+AO328+AO331+AO334+AO337+AO340</f>
        <v>-5243210.1534014288</v>
      </c>
      <c r="AP236" s="294">
        <f>AP238+AP241+AP244+AP247+AP250+AP253+AP256+AP259+AP262+AP265+AP268+AP271+AP295+AP274+AP277+AP280+AP283+AP286+AP289+AP292+AP298+AP301+AP304+AP307+AP310+AP313+AP316+AP319+AP322+AP325+AP328+AP331+AP334+AP337+AP340</f>
        <v>-6051052.4200900011</v>
      </c>
      <c r="AQ236" s="294">
        <f>AQ238+AQ241+AQ244+AQ247+AQ250+AQ253+AQ256+AQ259+AQ262+AQ265+AQ268+AQ271+AQ295+AQ274+AQ277+AQ280+AQ283+AQ286+AQ289+AQ292+AQ298+AQ301+AQ304+AQ307+AQ310+AQ313+AQ316+AQ319+AQ322+AQ325+AQ328+AQ331+AQ334+AQ337+AQ340</f>
        <v>0</v>
      </c>
      <c r="AR236" s="293">
        <f>IF(AI236=0,"",AL236/AI236)</f>
        <v>0.60702642622557146</v>
      </c>
      <c r="AS236" s="292">
        <f>AS238+AS241+AS244+AS247+AS250+AS253+AS256+AS259+AS262+AS265+AS268+AS271+AS295+AS274+AS277+AS280+AS283+AS286+AS289+AS292+AS298+AS301+AS304+AS307+AS310+AS313+AS316+AS319+AS322+AS325+AS328+AS331+AS334+AS337+AS340</f>
        <v>1391923.652955357</v>
      </c>
      <c r="AT236" s="292">
        <f>AT238+AT241+AT244+AT247+AT250+AT253+AT256+AT259+AT262+AT265+AT268+AT271+AT295+AT274+AT277+AT280+AT283+AT286+AT289+AT292+AT298+AT301+AT304+AT307+AT310+AT313+AT316+AT319+AT322+AT325+AT328+AT331+AT334+AT337+AT340</f>
        <v>6707265.0298842844</v>
      </c>
      <c r="AU236" s="292">
        <f>AU238+AU241+AU244+AU247+AU250+AU253+AU256+AU259+AU262+AU265+AU268+AU271+AU295+AU274+AU277+AU280+AU283+AU286+AU289+AU292+AU298+AU301+AU304+AU307+AU310+AU313+AU316+AU319+AU322+AU325+AU328+AU331+AU334+AU337+AU340</f>
        <v>0</v>
      </c>
      <c r="AV236" s="291">
        <f>AV238+AV241+AV244+AV247+AV250+AV253+AV256+AV259+AV262+AV265+AV268+AV271+AV295+AV274+AV277+AV280+AV283+AV286+AV289+AV292+AV298+AV301+AV304+AV307+AV310+AV313+AV316+AV319+AV322+AV325+AV328+AV331+AV334+AV337+AV340</f>
        <v>11088653.178954722</v>
      </c>
      <c r="AW236" s="291">
        <f>AW238+AW241+AW244+AW247+AW250+AW253+AW256+AW259+AW262+AW265+AW268+AW271+AW295+AW274+AW277+AW280+AW283+AW286+AW289+AW292+AW298+AW301+AW304+AW307+AW310+AW313+AW316+AW319+AW322+AW325+AW328+AW331+AW334+AW337+AW340</f>
        <v>12419291.560429294</v>
      </c>
      <c r="AX236" s="291">
        <f>AX238+AX241+AX244+AX247+AX250+AX253+AX256+AX259+AX262+AX265+AX268+AX271+AX295+AX274+AX277+AX280+AX283+AX286+AX289+AX292+AX298+AX301+AX304+AX307+AX310+AX313+AX316+AX319+AX322+AX325+AX328+AX331+AX334+AX337+AX340</f>
        <v>0</v>
      </c>
      <c r="AY236" s="291">
        <f>AY238+AY241+AY244+AY247+AY250+AY253+AY256+AY259+AY262+AY265+AY268+AY271+AY295+AY274+AY277+AY280+AY283+AY286+AY289+AY292+AY298+AY301+AY304+AY307+AY310+AY313+AY316+AY319+AY322+AY325+AY328+AY331+AY334+AY337+AY340</f>
        <v>0</v>
      </c>
      <c r="AZ236" s="291">
        <f>AZ238+AZ241+AZ244+AZ247+AZ250+AZ253+AZ256+AZ259+AZ262+AZ265+AZ268+AZ271+AZ295+AZ274+AZ277+AZ280+AZ283+AZ286+AZ289+AZ292+AZ298+AZ301+AZ304+AZ307+AZ310+AZ313+AZ316+AZ319+AZ322+AZ325+AZ328+AZ331+AZ334+AZ337+AZ340</f>
        <v>0</v>
      </c>
      <c r="BA236" s="291">
        <f>BA238+BA241+BA244+BA247+BA250+BA253+BA256+BA259+BA262+BA265+BA268+BA271+BA295+BA274+BA277+BA280+BA283+BA286+BA289+BA292+BA298+BA301+BA304+BA307+BA310+BA313+BA316+BA319+BA322+BA325+BA328+BA331+BA334+BA337+BA340</f>
        <v>0</v>
      </c>
      <c r="BB236" s="291">
        <f>BB238+BB241+BB244+BB247+BB250+BB253+BB256+BB259+BB262+BB265+BB268+BB271+BB295+BB274+BB277+BB280+BB283+BB286+BB289+BB292+BB298+BB301+BB304+BB307+BB310+BB313+BB316+BB319+BB322+BB325+BB328+BB331+BB334+BB337+BB340</f>
        <v>0</v>
      </c>
      <c r="BC236" s="291">
        <f>BC238+BC241+BC244+BC247+BC250+BC253+BC256+BC259+BC262+BC265+BC268+BC271+BC295+BC274+BC277+BC280+BC283+BC286+BC289+BC292+BC298+BC301+BC304+BC307+BC310+BC313+BC316+BC319+BC322+BC325+BC328+BC331+BC334+BC337+BC340</f>
        <v>0</v>
      </c>
      <c r="BD236" s="291">
        <f>BD238+BD241+BD244+BD247+BD250+BD253+BD256+BD259+BD262+BD265+BD268+BD271+BD295+BD274+BD277+BD280+BD283+BD286+BD289+BD292+BD298+BD301+BD304+BD307+BD310+BD313+BD316+BD319+BD322+BD325+BD328+BD331+BD334+BD337+BD340</f>
        <v>0</v>
      </c>
      <c r="BE236" s="291">
        <f>BE238+BE241+BE244+BE247+BE250+BE253+BE256+BE259+BE262+BE265+BE268+BE271+BE295+BE274+BE277+BE280+BE283+BE286+BE289+BE292+BE298+BE301+BE304+BE307+BE310+BE313+BE316+BE319+BE322+BE325+BE328+BE331+BE334+BE337+BE340</f>
        <v>0</v>
      </c>
      <c r="BF236" s="291">
        <f>BF238+BF241+BF244+BF247+BF250+BF253+BF256+BF259+BF262+BF265+BF268+BF271+BF295+BF274+BF277+BF280+BF283+BF286+BF289+BF292+BF298+BF301+BF304+BF307+BF310+BF313+BF316+BF319+BF322+BF325+BF328+BF331+BF334+BF337+BF340</f>
        <v>0</v>
      </c>
      <c r="BG236" s="291">
        <f>BG238+BG241+BG244+BG247+BG250+BG253+BG256+BG259+BG262+BG265+BG268+BG271+BG295+BG274+BG277+BG280+BG283+BG286+BG289+BG292+BG298+BG301+BG304+BG307+BG310+BG313+BG316+BG319+BG322+BG325+BG328+BG331+BG334+BG337+BG340</f>
        <v>0</v>
      </c>
      <c r="BH236" s="291">
        <f>BH238+BH241+BH244+BH247+BH250+BH253+BH256+BH259+BH262+BH265+BH268+BH271+BH295+BH274+BH277+BH280+BH283+BH286+BH289+BH292+BH298+BH301+BH304+BH307+BH310+BH313+BH316+BH319+BH322+BH325+BH328+BH331+BH334+BH337+BH340</f>
        <v>0</v>
      </c>
      <c r="BI236" s="291">
        <f>BI238+BI241+BI244+BI247+BI250+BI253+BI256+BI259+BI262+BI265+BI268+BI271+BI295+BI274+BI277+BI280+BI283+BI286+BI289+BI292+BI298+BI301+BI304+BI307+BI310+BI313+BI316+BI319+BI322+BI325+BI328+BI331+BI334+BI337+BI340</f>
        <v>0</v>
      </c>
      <c r="BJ236" s="291">
        <f>BJ238+BJ241+BJ244+BJ247+BJ250+BJ253+BJ256+BJ259+BJ262+BJ265+BJ268+BJ271+BJ295+BJ274+BJ277+BJ280+BJ283+BJ286+BJ289+BJ292+BJ298+BJ301+BJ304+BJ307+BJ310+BJ313+BJ316+BJ319+BJ322+BJ325+BJ328+BJ331+BJ334+BJ337+BJ340</f>
        <v>0</v>
      </c>
      <c r="BK236" s="291">
        <f>BK238+BK241+BK244+BK247+BK250+BK253+BK256+BK259+BK262+BK265+BK268+BK271+BK295+BK274+BK277+BK280+BK283+BK286+BK289+BK292+BK298+BK301+BK304+BK307+BK310+BK313+BK316+BK319+BK322+BK325+BK328+BK331+BK334+BK337+BK340</f>
        <v>0</v>
      </c>
      <c r="BL236" s="291">
        <f>BL238+BL241+BL244+BL247+BL250+BL253+BL256+BL259+BL262+BL265+BL268+BL271+BL295+BL274+BL277+BL280+BL283+BL286+BL289+BL292+BL298+BL301+BL304+BL307+BL310+BL313+BL316+BL319+BL322+BL325+BL328+BL331+BL334+BL337+BL340</f>
        <v>0</v>
      </c>
      <c r="BM236" s="290"/>
      <c r="BN236" s="290"/>
      <c r="BO236" s="291">
        <f>BO238+BO241+BO244+BO247+BO250+BO253+BO256+BO259+BO262+BO265+BO268+BO271+BO295+BO274+BO277+BO280+BO283+BO286+BO289+BO292+BO298+BO301+BO304+BO307+BO310+BO313+BO316+BO319+BO322+BO325+BO328+BO331+BO334+BO337+BO340</f>
        <v>12344.72027</v>
      </c>
      <c r="BP236" s="291">
        <f>BP238+BP241+BP244+BP247+BP250+BP253+BP256+BP259+BP262+BP265+BP268+BP271+BP295+BP274+BP277+BP280+BP283+BP286+BP289+BP292+BP298+BP301+BP304+BP307+BP310+BP313+BP316+BP319+BP322+BP325+BP328+BP331+BP334+BP337+BP340</f>
        <v>171406.79699999999</v>
      </c>
      <c r="BQ236" s="291">
        <f>BQ238+BQ241+BQ244+BQ247+BQ250+BQ253+BQ256+BQ259+BQ262+BQ265+BQ268+BQ271+BQ295+BQ274+BQ277+BQ280+BQ283+BQ286+BQ289+BQ292+BQ298+BQ301+BQ304+BQ307+BQ310+BQ313+BQ316+BQ319+BQ322+BQ325+BQ328+BQ331+BQ334+BQ337+BQ340</f>
        <v>38.474249999999998</v>
      </c>
      <c r="BR236" s="290"/>
      <c r="BS236" s="290"/>
      <c r="BT236" s="290"/>
      <c r="BW236" s="290"/>
      <c r="BX236" s="289"/>
    </row>
    <row r="237" spans="1:76" s="201" customFormat="1" ht="22.5" hidden="1" customHeight="1" outlineLevel="1" x14ac:dyDescent="0.25">
      <c r="A237" s="271"/>
      <c r="B237" s="182" t="s">
        <v>81</v>
      </c>
      <c r="C237" s="214" t="s">
        <v>9</v>
      </c>
      <c r="D237" s="214" t="s">
        <v>8</v>
      </c>
      <c r="E237" s="213"/>
      <c r="F237" s="213">
        <f>E237*1.12</f>
        <v>0</v>
      </c>
      <c r="G237" s="243">
        <v>1717</v>
      </c>
      <c r="H237" s="242"/>
      <c r="I237" s="212"/>
      <c r="J237" s="212">
        <f>I237*1.12</f>
        <v>0</v>
      </c>
      <c r="K237" s="284" t="s">
        <v>80</v>
      </c>
      <c r="L237" s="283" t="s">
        <v>75</v>
      </c>
      <c r="M237" s="268" t="s">
        <v>13</v>
      </c>
      <c r="N237" s="210">
        <f>P237</f>
        <v>0</v>
      </c>
      <c r="O237" s="210">
        <f>Q237</f>
        <v>0</v>
      </c>
      <c r="P237" s="210">
        <f>Q237/1.12</f>
        <v>0</v>
      </c>
      <c r="Q237" s="210"/>
      <c r="R237" s="113" t="s">
        <v>77</v>
      </c>
      <c r="S237" s="104"/>
      <c r="T237" s="206"/>
      <c r="U237" s="206"/>
      <c r="V237" s="206"/>
      <c r="W237" s="206"/>
      <c r="X237" s="206"/>
      <c r="Y237" s="206"/>
      <c r="Z237" s="206"/>
      <c r="AA237" s="206"/>
      <c r="AB237" s="206"/>
      <c r="AC237" s="206"/>
      <c r="AD237" s="207">
        <f>AC237*1.12</f>
        <v>0</v>
      </c>
      <c r="AE237" s="206"/>
      <c r="AF237" s="206">
        <f>Z237+AC237+W237+T237</f>
        <v>0</v>
      </c>
      <c r="AG237" s="206">
        <f>AA237+AD237+X237+U237</f>
        <v>0</v>
      </c>
      <c r="AH237" s="206">
        <f>AB237+AE237+Y237+V237</f>
        <v>0</v>
      </c>
      <c r="AI237" s="206"/>
      <c r="AJ237" s="206">
        <f>AI237*1.12</f>
        <v>0</v>
      </c>
      <c r="AK237" s="206"/>
      <c r="AL237" s="206"/>
      <c r="AM237" s="203">
        <f>AL237*1.12</f>
        <v>0</v>
      </c>
      <c r="AN237" s="206"/>
      <c r="AO237" s="203"/>
      <c r="AP237" s="203"/>
      <c r="AQ237" s="203"/>
      <c r="AR237" s="205"/>
      <c r="AS237" s="204"/>
      <c r="AT237" s="204"/>
      <c r="AU237" s="204"/>
      <c r="AV237" s="203">
        <f>AL237</f>
        <v>0</v>
      </c>
      <c r="AW237" s="203">
        <f>AV237*1.12</f>
        <v>0</v>
      </c>
      <c r="AX237" s="203"/>
      <c r="AY237" s="203"/>
      <c r="AZ237" s="203"/>
      <c r="BA237" s="203"/>
      <c r="BB237" s="203"/>
      <c r="BC237" s="203"/>
      <c r="BD237" s="203"/>
      <c r="BE237" s="203"/>
      <c r="BF237" s="203"/>
      <c r="BG237" s="203"/>
      <c r="BH237" s="203"/>
      <c r="BI237" s="203"/>
      <c r="BJ237" s="203"/>
      <c r="BK237" s="203"/>
      <c r="BL237" s="203"/>
      <c r="BM237" s="202"/>
      <c r="BN237" s="202"/>
      <c r="BO237" s="202"/>
      <c r="BP237" s="202"/>
      <c r="BQ237" s="202"/>
      <c r="BR237" s="202"/>
      <c r="BS237" s="202"/>
      <c r="BT237" s="202"/>
      <c r="BW237" s="287">
        <f>SUM(AY237:BL237)+SUM(AY240:BL240)+SUM(AY243:BL243)</f>
        <v>0</v>
      </c>
      <c r="BX237" s="287">
        <f>AL237+AL240+AL243-AI237-BW237</f>
        <v>0</v>
      </c>
    </row>
    <row r="238" spans="1:76" s="57" customFormat="1" ht="22.5" hidden="1" customHeight="1" outlineLevel="1" x14ac:dyDescent="0.25">
      <c r="A238" s="271"/>
      <c r="B238" s="182"/>
      <c r="C238" s="70" t="s">
        <v>6</v>
      </c>
      <c r="D238" s="70" t="s">
        <v>26</v>
      </c>
      <c r="E238" s="198">
        <f>E239</f>
        <v>0</v>
      </c>
      <c r="F238" s="198">
        <f>E238*1.12</f>
        <v>0</v>
      </c>
      <c r="G238" s="197"/>
      <c r="H238" s="196"/>
      <c r="I238" s="195">
        <f>I239</f>
        <v>0</v>
      </c>
      <c r="J238" s="195">
        <f>I238*1.12</f>
        <v>0</v>
      </c>
      <c r="K238" s="284"/>
      <c r="L238" s="283"/>
      <c r="M238" s="268"/>
      <c r="N238" s="50">
        <f>P238</f>
        <v>0</v>
      </c>
      <c r="O238" s="50">
        <f>Q238</f>
        <v>0</v>
      </c>
      <c r="P238" s="51">
        <f>Q238/1.12</f>
        <v>0</v>
      </c>
      <c r="Q238" s="51">
        <f>Q237</f>
        <v>0</v>
      </c>
      <c r="R238" s="113"/>
      <c r="S238" s="104"/>
      <c r="T238" s="66"/>
      <c r="U238" s="66"/>
      <c r="V238" s="66"/>
      <c r="W238" s="66"/>
      <c r="X238" s="66"/>
      <c r="Y238" s="66"/>
      <c r="Z238" s="66"/>
      <c r="AA238" s="66"/>
      <c r="AB238" s="66"/>
      <c r="AC238" s="286">
        <f>AD238/1.12</f>
        <v>0</v>
      </c>
      <c r="AD238" s="285"/>
      <c r="AE238" s="66"/>
      <c r="AF238" s="66">
        <f>AC238+Z238+W238+T238</f>
        <v>0</v>
      </c>
      <c r="AG238" s="66">
        <f>AD238+AA238+X238+U238</f>
        <v>0</v>
      </c>
      <c r="AH238" s="66"/>
      <c r="AI238" s="66"/>
      <c r="AJ238" s="66">
        <f>AI238*1.12</f>
        <v>0</v>
      </c>
      <c r="AK238" s="66"/>
      <c r="AL238" s="117">
        <f>AM238/1.12</f>
        <v>0</v>
      </c>
      <c r="AM238" s="64"/>
      <c r="AN238" s="66"/>
      <c r="AO238" s="64">
        <f>AL238-AI238</f>
        <v>0</v>
      </c>
      <c r="AP238" s="64">
        <f>AM238-AJ238</f>
        <v>0</v>
      </c>
      <c r="AQ238" s="62"/>
      <c r="AR238" s="189"/>
      <c r="AS238" s="115"/>
      <c r="AT238" s="115">
        <f>AL238</f>
        <v>0</v>
      </c>
      <c r="AU238" s="63"/>
      <c r="AV238" s="64">
        <f>AL238</f>
        <v>0</v>
      </c>
      <c r="AW238" s="64">
        <f>AV238*1.12</f>
        <v>0</v>
      </c>
      <c r="AX238" s="62"/>
      <c r="AY238" s="62"/>
      <c r="AZ238" s="62"/>
      <c r="BA238" s="62"/>
      <c r="BB238" s="62"/>
      <c r="BC238" s="62"/>
      <c r="BD238" s="62"/>
      <c r="BE238" s="62"/>
      <c r="BF238" s="62"/>
      <c r="BG238" s="62"/>
      <c r="BH238" s="62"/>
      <c r="BI238" s="62"/>
      <c r="BJ238" s="62"/>
      <c r="BK238" s="62"/>
      <c r="BL238" s="62"/>
      <c r="BM238" s="59"/>
      <c r="BN238" s="59"/>
      <c r="BO238" s="59"/>
      <c r="BP238" s="59"/>
      <c r="BQ238" s="59"/>
      <c r="BR238" s="59"/>
      <c r="BS238" s="59"/>
      <c r="BT238" s="59"/>
      <c r="BW238" s="272"/>
      <c r="BX238" s="272"/>
    </row>
    <row r="239" spans="1:76" ht="22.5" hidden="1" customHeight="1" outlineLevel="1" x14ac:dyDescent="0.25">
      <c r="A239" s="271"/>
      <c r="B239" s="182"/>
      <c r="C239" s="53" t="s">
        <v>6</v>
      </c>
      <c r="D239" s="53" t="s">
        <v>5</v>
      </c>
      <c r="E239" s="186"/>
      <c r="F239" s="186">
        <f>E239*1.12</f>
        <v>0</v>
      </c>
      <c r="G239" s="197"/>
      <c r="H239" s="196"/>
      <c r="I239" s="183"/>
      <c r="J239" s="183">
        <f>I239*1.12</f>
        <v>0</v>
      </c>
      <c r="K239" s="284"/>
      <c r="L239" s="283"/>
      <c r="M239" s="268"/>
      <c r="N239" s="50">
        <f>P239</f>
        <v>0</v>
      </c>
      <c r="O239" s="50">
        <f>Q239</f>
        <v>0</v>
      </c>
      <c r="P239" s="50">
        <f>Q239/1.12</f>
        <v>0</v>
      </c>
      <c r="Q239" s="180">
        <f>Q238</f>
        <v>0</v>
      </c>
      <c r="R239" s="113"/>
      <c r="S239" s="104"/>
      <c r="T239" s="46"/>
      <c r="U239" s="46"/>
      <c r="V239" s="46"/>
      <c r="W239" s="46"/>
      <c r="X239" s="46"/>
      <c r="Y239" s="46"/>
      <c r="Z239" s="46"/>
      <c r="AA239" s="46"/>
      <c r="AB239" s="46"/>
      <c r="AC239" s="282">
        <f>AD239/1.12</f>
        <v>0</v>
      </c>
      <c r="AD239" s="281">
        <f>AD238</f>
        <v>0</v>
      </c>
      <c r="AE239" s="46"/>
      <c r="AF239" s="46">
        <f>AC239+Z239+W239+T239</f>
        <v>0</v>
      </c>
      <c r="AG239" s="46">
        <f>AD239+AA239+X239+U239</f>
        <v>0</v>
      </c>
      <c r="AH239" s="46"/>
      <c r="AI239" s="46">
        <f>AI238</f>
        <v>0</v>
      </c>
      <c r="AJ239" s="46">
        <f>AI239*1.12</f>
        <v>0</v>
      </c>
      <c r="AK239" s="46"/>
      <c r="AL239" s="103">
        <f>AM239/1.12</f>
        <v>0</v>
      </c>
      <c r="AM239" s="44">
        <f>AM238</f>
        <v>0</v>
      </c>
      <c r="AN239" s="46"/>
      <c r="AO239" s="44">
        <f>AO238</f>
        <v>0</v>
      </c>
      <c r="AP239" s="44">
        <f>AP238</f>
        <v>0</v>
      </c>
      <c r="AQ239" s="41"/>
      <c r="AR239" s="178"/>
      <c r="AS239" s="101"/>
      <c r="AT239" s="101">
        <f>AL239</f>
        <v>0</v>
      </c>
      <c r="AU239" s="42"/>
      <c r="AV239" s="44">
        <f>AV238</f>
        <v>0</v>
      </c>
      <c r="AW239" s="44">
        <f>AV239*1.12</f>
        <v>0</v>
      </c>
      <c r="AX239" s="41"/>
      <c r="AY239" s="41"/>
      <c r="AZ239" s="41"/>
      <c r="BA239" s="41"/>
      <c r="BB239" s="41"/>
      <c r="BC239" s="41"/>
      <c r="BD239" s="41"/>
      <c r="BE239" s="41"/>
      <c r="BF239" s="62"/>
      <c r="BG239" s="41"/>
      <c r="BH239" s="41"/>
      <c r="BI239" s="41"/>
      <c r="BJ239" s="41"/>
      <c r="BK239" s="41"/>
      <c r="BL239" s="41"/>
      <c r="BM239" s="39"/>
      <c r="BN239" s="39"/>
      <c r="BO239" s="39"/>
      <c r="BP239" s="39"/>
      <c r="BQ239" s="39"/>
      <c r="BR239" s="39"/>
      <c r="BS239" s="39"/>
      <c r="BT239" s="39"/>
      <c r="BW239" s="272"/>
      <c r="BX239" s="272"/>
    </row>
    <row r="240" spans="1:76" s="201" customFormat="1" ht="16.5" hidden="1" customHeight="1" outlineLevel="1" x14ac:dyDescent="0.25">
      <c r="A240" s="271"/>
      <c r="B240" s="182"/>
      <c r="C240" s="214" t="s">
        <v>9</v>
      </c>
      <c r="D240" s="214" t="s">
        <v>8</v>
      </c>
      <c r="E240" s="213"/>
      <c r="F240" s="213"/>
      <c r="G240" s="197"/>
      <c r="H240" s="196"/>
      <c r="I240" s="212"/>
      <c r="J240" s="212"/>
      <c r="K240" s="278" t="s">
        <v>40</v>
      </c>
      <c r="L240" s="277" t="s">
        <v>79</v>
      </c>
      <c r="M240" s="268" t="s">
        <v>13</v>
      </c>
      <c r="N240" s="210">
        <f>P240</f>
        <v>0</v>
      </c>
      <c r="O240" s="210">
        <f>Q240</f>
        <v>0</v>
      </c>
      <c r="P240" s="210">
        <f>Q240/1.12</f>
        <v>0</v>
      </c>
      <c r="Q240" s="210"/>
      <c r="R240" s="113" t="s">
        <v>77</v>
      </c>
      <c r="S240" s="104"/>
      <c r="T240" s="206"/>
      <c r="U240" s="206"/>
      <c r="V240" s="206"/>
      <c r="W240" s="206"/>
      <c r="X240" s="206"/>
      <c r="Y240" s="206"/>
      <c r="Z240" s="206"/>
      <c r="AA240" s="206"/>
      <c r="AB240" s="206"/>
      <c r="AC240" s="206"/>
      <c r="AD240" s="207">
        <f>AC240*1.12</f>
        <v>0</v>
      </c>
      <c r="AE240" s="206"/>
      <c r="AF240" s="206">
        <f>Z240+AC240+W240+T240</f>
        <v>0</v>
      </c>
      <c r="AG240" s="206">
        <f>AA240+AD240+X240+U240</f>
        <v>0</v>
      </c>
      <c r="AH240" s="206">
        <f>AB240+AE240+Y240+V240</f>
        <v>0</v>
      </c>
      <c r="AI240" s="206"/>
      <c r="AJ240" s="206"/>
      <c r="AK240" s="206"/>
      <c r="AL240" s="206"/>
      <c r="AM240" s="203">
        <f>AL240*1.12</f>
        <v>0</v>
      </c>
      <c r="AN240" s="206"/>
      <c r="AO240" s="203"/>
      <c r="AP240" s="203"/>
      <c r="AQ240" s="203"/>
      <c r="AR240" s="205" t="str">
        <f>IF(AI240=0,"",AL240/AI240)</f>
        <v/>
      </c>
      <c r="AS240" s="204"/>
      <c r="AT240" s="204"/>
      <c r="AU240" s="204"/>
      <c r="AV240" s="203">
        <f>AL240</f>
        <v>0</v>
      </c>
      <c r="AW240" s="203">
        <f>AM240</f>
        <v>0</v>
      </c>
      <c r="AX240" s="203"/>
      <c r="AY240" s="203"/>
      <c r="AZ240" s="203"/>
      <c r="BA240" s="203"/>
      <c r="BB240" s="203"/>
      <c r="BC240" s="203"/>
      <c r="BD240" s="203"/>
      <c r="BE240" s="203"/>
      <c r="BF240" s="203"/>
      <c r="BG240" s="203"/>
      <c r="BH240" s="203"/>
      <c r="BI240" s="203"/>
      <c r="BJ240" s="203"/>
      <c r="BK240" s="203"/>
      <c r="BL240" s="203"/>
      <c r="BM240" s="202"/>
      <c r="BN240" s="202"/>
      <c r="BO240" s="202"/>
      <c r="BP240" s="202"/>
      <c r="BQ240" s="202"/>
      <c r="BR240" s="202"/>
      <c r="BS240" s="202"/>
      <c r="BT240" s="202"/>
      <c r="BW240" s="272"/>
      <c r="BX240" s="272"/>
    </row>
    <row r="241" spans="1:76" s="57" customFormat="1" ht="17.25" hidden="1" customHeight="1" outlineLevel="1" x14ac:dyDescent="0.25">
      <c r="A241" s="271"/>
      <c r="B241" s="182"/>
      <c r="C241" s="199" t="s">
        <v>6</v>
      </c>
      <c r="D241" s="199" t="s">
        <v>26</v>
      </c>
      <c r="E241" s="198"/>
      <c r="F241" s="198"/>
      <c r="G241" s="197"/>
      <c r="H241" s="196"/>
      <c r="I241" s="195"/>
      <c r="J241" s="195"/>
      <c r="K241" s="278"/>
      <c r="L241" s="277"/>
      <c r="M241" s="268"/>
      <c r="N241" s="50">
        <f>P241</f>
        <v>0</v>
      </c>
      <c r="O241" s="50">
        <f>Q241</f>
        <v>0</v>
      </c>
      <c r="P241" s="51">
        <f>Q241/1.12</f>
        <v>0</v>
      </c>
      <c r="Q241" s="51">
        <f>Q240</f>
        <v>0</v>
      </c>
      <c r="R241" s="113"/>
      <c r="S241" s="104"/>
      <c r="T241" s="66"/>
      <c r="U241" s="66"/>
      <c r="V241" s="66"/>
      <c r="W241" s="66"/>
      <c r="X241" s="66"/>
      <c r="Y241" s="66"/>
      <c r="Z241" s="66"/>
      <c r="AA241" s="66"/>
      <c r="AB241" s="66"/>
      <c r="AC241" s="280"/>
      <c r="AD241" s="279">
        <f>AC241*1.12</f>
        <v>0</v>
      </c>
      <c r="AE241" s="66"/>
      <c r="AF241" s="66">
        <f>AC241+Z241+W241+T241</f>
        <v>0</v>
      </c>
      <c r="AG241" s="66">
        <f>AD241+AA241+X241+U241</f>
        <v>0</v>
      </c>
      <c r="AH241" s="66"/>
      <c r="AI241" s="66"/>
      <c r="AJ241" s="66"/>
      <c r="AK241" s="66"/>
      <c r="AL241" s="117"/>
      <c r="AM241" s="64">
        <f>AL241*1.12</f>
        <v>0</v>
      </c>
      <c r="AN241" s="66"/>
      <c r="AO241" s="64">
        <f>AL241-AI241</f>
        <v>0</v>
      </c>
      <c r="AP241" s="64">
        <f>AM241-AJ241</f>
        <v>0</v>
      </c>
      <c r="AQ241" s="62"/>
      <c r="AR241" s="189" t="str">
        <f>IF(AI241=0,"",AL241/AI241)</f>
        <v/>
      </c>
      <c r="AS241" s="115"/>
      <c r="AT241" s="115">
        <f>AL241</f>
        <v>0</v>
      </c>
      <c r="AU241" s="63"/>
      <c r="AV241" s="64">
        <f>AL241</f>
        <v>0</v>
      </c>
      <c r="AW241" s="64">
        <f>AV241*1.12</f>
        <v>0</v>
      </c>
      <c r="AX241" s="62"/>
      <c r="AY241" s="62"/>
      <c r="AZ241" s="62"/>
      <c r="BA241" s="62"/>
      <c r="BB241" s="62"/>
      <c r="BC241" s="62"/>
      <c r="BD241" s="62"/>
      <c r="BE241" s="62"/>
      <c r="BF241" s="62"/>
      <c r="BG241" s="62"/>
      <c r="BH241" s="62"/>
      <c r="BI241" s="62"/>
      <c r="BJ241" s="62"/>
      <c r="BK241" s="62"/>
      <c r="BL241" s="62"/>
      <c r="BM241" s="59"/>
      <c r="BN241" s="59"/>
      <c r="BO241" s="59"/>
      <c r="BP241" s="59"/>
      <c r="BQ241" s="59"/>
      <c r="BR241" s="59"/>
      <c r="BS241" s="59"/>
      <c r="BT241" s="59"/>
      <c r="BW241" s="272"/>
      <c r="BX241" s="272"/>
    </row>
    <row r="242" spans="1:76" ht="17.25" hidden="1" customHeight="1" outlineLevel="1" x14ac:dyDescent="0.25">
      <c r="A242" s="271"/>
      <c r="B242" s="182"/>
      <c r="C242" s="187" t="s">
        <v>6</v>
      </c>
      <c r="D242" s="187" t="s">
        <v>5</v>
      </c>
      <c r="E242" s="186"/>
      <c r="F242" s="186"/>
      <c r="G242" s="197"/>
      <c r="H242" s="196"/>
      <c r="I242" s="183"/>
      <c r="J242" s="183"/>
      <c r="K242" s="278"/>
      <c r="L242" s="277"/>
      <c r="M242" s="268"/>
      <c r="N242" s="50">
        <f>P242</f>
        <v>0</v>
      </c>
      <c r="O242" s="50">
        <f>Q242</f>
        <v>0</v>
      </c>
      <c r="P242" s="50">
        <f>Q242/1.12</f>
        <v>0</v>
      </c>
      <c r="Q242" s="50">
        <f>Q241</f>
        <v>0</v>
      </c>
      <c r="R242" s="113"/>
      <c r="S242" s="104"/>
      <c r="T242" s="46"/>
      <c r="U242" s="46"/>
      <c r="V242" s="46"/>
      <c r="W242" s="46"/>
      <c r="X242" s="46"/>
      <c r="Y242" s="46"/>
      <c r="Z242" s="46"/>
      <c r="AA242" s="46"/>
      <c r="AB242" s="46"/>
      <c r="AC242" s="276">
        <f>AC241</f>
        <v>0</v>
      </c>
      <c r="AD242" s="275">
        <f>AC242*1.12</f>
        <v>0</v>
      </c>
      <c r="AE242" s="46"/>
      <c r="AF242" s="46">
        <f>AC242+Z242+W242+T242</f>
        <v>0</v>
      </c>
      <c r="AG242" s="46">
        <f>AD242+AA242+X242+U242</f>
        <v>0</v>
      </c>
      <c r="AH242" s="46"/>
      <c r="AI242" s="46"/>
      <c r="AJ242" s="46"/>
      <c r="AK242" s="46"/>
      <c r="AL242" s="103">
        <f>AL241</f>
        <v>0</v>
      </c>
      <c r="AM242" s="44">
        <f>AL242*1.12</f>
        <v>0</v>
      </c>
      <c r="AN242" s="46"/>
      <c r="AO242" s="44">
        <f>AO241</f>
        <v>0</v>
      </c>
      <c r="AP242" s="44">
        <f>AP241</f>
        <v>0</v>
      </c>
      <c r="AQ242" s="41"/>
      <c r="AR242" s="178" t="str">
        <f>IF(AI242=0,"",AL242/AI242)</f>
        <v/>
      </c>
      <c r="AS242" s="101"/>
      <c r="AT242" s="101">
        <f>AL242</f>
        <v>0</v>
      </c>
      <c r="AU242" s="42"/>
      <c r="AV242" s="44">
        <f>AV241</f>
        <v>0</v>
      </c>
      <c r="AW242" s="44">
        <f>AV242*1.12</f>
        <v>0</v>
      </c>
      <c r="AX242" s="41"/>
      <c r="AY242" s="41"/>
      <c r="AZ242" s="41"/>
      <c r="BA242" s="41"/>
      <c r="BB242" s="41"/>
      <c r="BC242" s="41"/>
      <c r="BD242" s="41"/>
      <c r="BE242" s="41"/>
      <c r="BF242" s="62"/>
      <c r="BG242" s="41"/>
      <c r="BH242" s="41"/>
      <c r="BI242" s="41"/>
      <c r="BJ242" s="41"/>
      <c r="BK242" s="41"/>
      <c r="BL242" s="41"/>
      <c r="BM242" s="39"/>
      <c r="BN242" s="39"/>
      <c r="BO242" s="39"/>
      <c r="BP242" s="39"/>
      <c r="BQ242" s="39"/>
      <c r="BR242" s="39"/>
      <c r="BS242" s="39"/>
      <c r="BT242" s="39"/>
      <c r="BW242" s="272"/>
      <c r="BX242" s="272"/>
    </row>
    <row r="243" spans="1:76" s="201" customFormat="1" ht="17.25" hidden="1" customHeight="1" outlineLevel="1" x14ac:dyDescent="0.25">
      <c r="A243" s="271"/>
      <c r="B243" s="182"/>
      <c r="C243" s="214" t="s">
        <v>9</v>
      </c>
      <c r="D243" s="214" t="s">
        <v>8</v>
      </c>
      <c r="E243" s="213"/>
      <c r="F243" s="213"/>
      <c r="G243" s="197"/>
      <c r="H243" s="196"/>
      <c r="I243" s="212"/>
      <c r="J243" s="212"/>
      <c r="K243" s="270" t="s">
        <v>40</v>
      </c>
      <c r="L243" s="269" t="s">
        <v>78</v>
      </c>
      <c r="M243" s="268" t="s">
        <v>13</v>
      </c>
      <c r="N243" s="210">
        <f>P243</f>
        <v>0</v>
      </c>
      <c r="O243" s="210">
        <f>Q243</f>
        <v>0</v>
      </c>
      <c r="P243" s="210">
        <f>Q243/1.12</f>
        <v>0</v>
      </c>
      <c r="Q243" s="210"/>
      <c r="R243" s="113" t="s">
        <v>77</v>
      </c>
      <c r="S243" s="104"/>
      <c r="T243" s="206"/>
      <c r="U243" s="206"/>
      <c r="V243" s="206"/>
      <c r="W243" s="206"/>
      <c r="X243" s="206"/>
      <c r="Y243" s="206"/>
      <c r="Z243" s="206"/>
      <c r="AA243" s="206"/>
      <c r="AB243" s="206"/>
      <c r="AC243" s="206"/>
      <c r="AD243" s="207">
        <f>AC243*1.12</f>
        <v>0</v>
      </c>
      <c r="AE243" s="206"/>
      <c r="AF243" s="206">
        <f>Z243+AC243+W243+T243</f>
        <v>0</v>
      </c>
      <c r="AG243" s="206">
        <f>AA243+AD243+X243+U243</f>
        <v>0</v>
      </c>
      <c r="AH243" s="206">
        <f>AB243+AE243+Y243+V243</f>
        <v>0</v>
      </c>
      <c r="AI243" s="206"/>
      <c r="AJ243" s="206"/>
      <c r="AK243" s="206"/>
      <c r="AL243" s="206"/>
      <c r="AM243" s="203">
        <f>AL243*1.12</f>
        <v>0</v>
      </c>
      <c r="AN243" s="206"/>
      <c r="AO243" s="203"/>
      <c r="AP243" s="203"/>
      <c r="AQ243" s="203"/>
      <c r="AR243" s="205" t="str">
        <f>IF(AI243=0,"",AL243/AI243)</f>
        <v/>
      </c>
      <c r="AS243" s="204"/>
      <c r="AT243" s="204"/>
      <c r="AU243" s="204"/>
      <c r="AV243" s="203">
        <f>AL243</f>
        <v>0</v>
      </c>
      <c r="AW243" s="203">
        <f>AM243</f>
        <v>0</v>
      </c>
      <c r="AX243" s="203"/>
      <c r="AY243" s="203"/>
      <c r="AZ243" s="203"/>
      <c r="BA243" s="203"/>
      <c r="BB243" s="203"/>
      <c r="BC243" s="203"/>
      <c r="BD243" s="203"/>
      <c r="BE243" s="203"/>
      <c r="BF243" s="203"/>
      <c r="BG243" s="203"/>
      <c r="BH243" s="203"/>
      <c r="BI243" s="203"/>
      <c r="BJ243" s="203"/>
      <c r="BK243" s="203"/>
      <c r="BL243" s="203"/>
      <c r="BM243" s="202"/>
      <c r="BN243" s="202"/>
      <c r="BO243" s="202"/>
      <c r="BP243" s="202"/>
      <c r="BQ243" s="202"/>
      <c r="BR243" s="202"/>
      <c r="BS243" s="202"/>
      <c r="BT243" s="202"/>
      <c r="BW243" s="272"/>
      <c r="BX243" s="272"/>
    </row>
    <row r="244" spans="1:76" s="57" customFormat="1" ht="17.25" hidden="1" customHeight="1" outlineLevel="1" x14ac:dyDescent="0.25">
      <c r="A244" s="271"/>
      <c r="B244" s="182"/>
      <c r="C244" s="199" t="s">
        <v>6</v>
      </c>
      <c r="D244" s="199" t="s">
        <v>26</v>
      </c>
      <c r="E244" s="198"/>
      <c r="F244" s="198"/>
      <c r="G244" s="197"/>
      <c r="H244" s="196"/>
      <c r="I244" s="195"/>
      <c r="J244" s="195"/>
      <c r="K244" s="270"/>
      <c r="L244" s="269"/>
      <c r="M244" s="268"/>
      <c r="N244" s="50">
        <f>P244</f>
        <v>0</v>
      </c>
      <c r="O244" s="50">
        <f>Q244</f>
        <v>0</v>
      </c>
      <c r="P244" s="51">
        <f>Q244/1.12</f>
        <v>0</v>
      </c>
      <c r="Q244" s="51">
        <f>Q243</f>
        <v>0</v>
      </c>
      <c r="R244" s="113"/>
      <c r="S244" s="104"/>
      <c r="T244" s="66"/>
      <c r="U244" s="66"/>
      <c r="V244" s="66"/>
      <c r="W244" s="66"/>
      <c r="X244" s="66"/>
      <c r="Y244" s="66"/>
      <c r="Z244" s="66"/>
      <c r="AA244" s="66"/>
      <c r="AB244" s="66"/>
      <c r="AC244" s="274"/>
      <c r="AD244" s="259">
        <f>AC244*1.12</f>
        <v>0</v>
      </c>
      <c r="AE244" s="66"/>
      <c r="AF244" s="66">
        <f>AC244+Z244+W244+T244</f>
        <v>0</v>
      </c>
      <c r="AG244" s="66">
        <f>AD244+AA244+X244+U244</f>
        <v>0</v>
      </c>
      <c r="AH244" s="66"/>
      <c r="AI244" s="66"/>
      <c r="AJ244" s="66"/>
      <c r="AK244" s="66"/>
      <c r="AL244" s="273"/>
      <c r="AM244" s="129">
        <f>AL244*1.12</f>
        <v>0</v>
      </c>
      <c r="AN244" s="66"/>
      <c r="AO244" s="64">
        <f>AL244-AI244</f>
        <v>0</v>
      </c>
      <c r="AP244" s="64">
        <f>AM244-AJ244</f>
        <v>0</v>
      </c>
      <c r="AQ244" s="62"/>
      <c r="AR244" s="189" t="str">
        <f>IF(AI244=0,"",AL244/AI244)</f>
        <v/>
      </c>
      <c r="AS244" s="115"/>
      <c r="AT244" s="115">
        <f>AL244</f>
        <v>0</v>
      </c>
      <c r="AU244" s="63"/>
      <c r="AV244" s="64">
        <f>AL244</f>
        <v>0</v>
      </c>
      <c r="AW244" s="64">
        <f>AV244*1.12</f>
        <v>0</v>
      </c>
      <c r="AX244" s="62"/>
      <c r="AY244" s="62"/>
      <c r="AZ244" s="62"/>
      <c r="BA244" s="62"/>
      <c r="BB244" s="62"/>
      <c r="BC244" s="62"/>
      <c r="BD244" s="62"/>
      <c r="BE244" s="62"/>
      <c r="BF244" s="62"/>
      <c r="BG244" s="62"/>
      <c r="BH244" s="62"/>
      <c r="BI244" s="62"/>
      <c r="BJ244" s="62"/>
      <c r="BK244" s="62"/>
      <c r="BL244" s="62"/>
      <c r="BM244" s="59"/>
      <c r="BN244" s="59"/>
      <c r="BO244" s="59"/>
      <c r="BP244" s="59"/>
      <c r="BQ244" s="59"/>
      <c r="BR244" s="59"/>
      <c r="BS244" s="59"/>
      <c r="BT244" s="59"/>
      <c r="BW244" s="272"/>
      <c r="BX244" s="272"/>
    </row>
    <row r="245" spans="1:76" ht="17.25" hidden="1" customHeight="1" outlineLevel="1" x14ac:dyDescent="0.25">
      <c r="A245" s="271"/>
      <c r="B245" s="182"/>
      <c r="C245" s="187" t="s">
        <v>6</v>
      </c>
      <c r="D245" s="187" t="s">
        <v>5</v>
      </c>
      <c r="E245" s="186"/>
      <c r="F245" s="186"/>
      <c r="G245" s="185"/>
      <c r="H245" s="184"/>
      <c r="I245" s="183"/>
      <c r="J245" s="183"/>
      <c r="K245" s="270"/>
      <c r="L245" s="269"/>
      <c r="M245" s="268"/>
      <c r="N245" s="50">
        <f>P245</f>
        <v>0</v>
      </c>
      <c r="O245" s="50">
        <f>Q245</f>
        <v>0</v>
      </c>
      <c r="P245" s="50">
        <f>Q245/1.12</f>
        <v>0</v>
      </c>
      <c r="Q245" s="180">
        <f>Q244</f>
        <v>0</v>
      </c>
      <c r="R245" s="113"/>
      <c r="S245" s="104"/>
      <c r="T245" s="46"/>
      <c r="U245" s="46"/>
      <c r="V245" s="46"/>
      <c r="W245" s="46"/>
      <c r="X245" s="46"/>
      <c r="Y245" s="46"/>
      <c r="Z245" s="46"/>
      <c r="AA245" s="46"/>
      <c r="AB245" s="46"/>
      <c r="AC245" s="267">
        <f>AC244</f>
        <v>0</v>
      </c>
      <c r="AD245" s="266">
        <f>AC245*1.12</f>
        <v>0</v>
      </c>
      <c r="AE245" s="46"/>
      <c r="AF245" s="46">
        <f>AC245+Z245+W245+T245</f>
        <v>0</v>
      </c>
      <c r="AG245" s="46">
        <f>AD245+AA245+X245+U245</f>
        <v>0</v>
      </c>
      <c r="AH245" s="46"/>
      <c r="AI245" s="46"/>
      <c r="AJ245" s="46"/>
      <c r="AK245" s="46"/>
      <c r="AL245" s="103">
        <f>AL244</f>
        <v>0</v>
      </c>
      <c r="AM245" s="44">
        <f>AL245*1.12</f>
        <v>0</v>
      </c>
      <c r="AN245" s="46"/>
      <c r="AO245" s="44">
        <f>AO244</f>
        <v>0</v>
      </c>
      <c r="AP245" s="44">
        <f>AP244</f>
        <v>0</v>
      </c>
      <c r="AQ245" s="41"/>
      <c r="AR245" s="178" t="str">
        <f>IF(AI245=0,"",AL245/AI245)</f>
        <v/>
      </c>
      <c r="AS245" s="101"/>
      <c r="AT245" s="101">
        <f>AL245</f>
        <v>0</v>
      </c>
      <c r="AU245" s="42"/>
      <c r="AV245" s="44">
        <f>AV244</f>
        <v>0</v>
      </c>
      <c r="AW245" s="44">
        <f>AW244</f>
        <v>0</v>
      </c>
      <c r="AX245" s="41"/>
      <c r="AY245" s="41"/>
      <c r="AZ245" s="41"/>
      <c r="BA245" s="41"/>
      <c r="BB245" s="41"/>
      <c r="BC245" s="41"/>
      <c r="BD245" s="41"/>
      <c r="BE245" s="41"/>
      <c r="BF245" s="62"/>
      <c r="BG245" s="41"/>
      <c r="BH245" s="41"/>
      <c r="BI245" s="41"/>
      <c r="BJ245" s="41"/>
      <c r="BK245" s="41"/>
      <c r="BL245" s="41"/>
      <c r="BM245" s="39"/>
      <c r="BN245" s="39"/>
      <c r="BO245" s="39"/>
      <c r="BP245" s="39"/>
      <c r="BQ245" s="39"/>
      <c r="BR245" s="39"/>
      <c r="BS245" s="39"/>
      <c r="BT245" s="39"/>
      <c r="BW245" s="265"/>
      <c r="BX245" s="265"/>
    </row>
    <row r="246" spans="1:76" s="201" customFormat="1" ht="23.25" customHeight="1" collapsed="1" x14ac:dyDescent="0.25">
      <c r="A246" s="72"/>
      <c r="B246" s="217" t="s">
        <v>76</v>
      </c>
      <c r="C246" s="214" t="s">
        <v>9</v>
      </c>
      <c r="D246" s="214" t="s">
        <v>8</v>
      </c>
      <c r="E246" s="213">
        <v>3987659</v>
      </c>
      <c r="F246" s="213">
        <f>E246*1.12</f>
        <v>4466178.08</v>
      </c>
      <c r="G246" s="243">
        <v>1717</v>
      </c>
      <c r="H246" s="242"/>
      <c r="I246" s="212"/>
      <c r="J246" s="212">
        <f>I246*1.12</f>
        <v>0</v>
      </c>
      <c r="K246" s="228" t="s">
        <v>55</v>
      </c>
      <c r="L246" s="244" t="s">
        <v>75</v>
      </c>
      <c r="M246" s="211" t="s">
        <v>13</v>
      </c>
      <c r="N246" s="210">
        <f>P246</f>
        <v>2014674249.9999998</v>
      </c>
      <c r="O246" s="210">
        <f>Q246</f>
        <v>2256435160</v>
      </c>
      <c r="P246" s="210">
        <f>Q246/1.12</f>
        <v>2014674249.9999998</v>
      </c>
      <c r="Q246" s="209">
        <v>2256435160</v>
      </c>
      <c r="R246" s="73" t="s">
        <v>53</v>
      </c>
      <c r="S246" s="208">
        <v>850</v>
      </c>
      <c r="T246" s="206"/>
      <c r="U246" s="206"/>
      <c r="V246" s="206"/>
      <c r="W246" s="206"/>
      <c r="X246" s="206"/>
      <c r="Y246" s="206"/>
      <c r="Z246" s="206"/>
      <c r="AA246" s="206"/>
      <c r="AB246" s="206"/>
      <c r="AC246" s="206">
        <f>1247852+435726+428289+111868</f>
        <v>2223735</v>
      </c>
      <c r="AD246" s="207">
        <f>AC246*1.12</f>
        <v>2490583.2000000002</v>
      </c>
      <c r="AE246" s="206">
        <f>443+215+187+5</f>
        <v>850</v>
      </c>
      <c r="AF246" s="206">
        <f>Z246+AC246+W246+T246</f>
        <v>2223735</v>
      </c>
      <c r="AG246" s="206">
        <f>AA246+AD246+X246+U246</f>
        <v>2490583.2000000002</v>
      </c>
      <c r="AH246" s="206">
        <f>AB246+AE246+Y246+V246</f>
        <v>850</v>
      </c>
      <c r="AI246" s="206"/>
      <c r="AJ246" s="206">
        <f>AI246*1.12</f>
        <v>0</v>
      </c>
      <c r="AK246" s="206"/>
      <c r="AL246" s="206"/>
      <c r="AM246" s="203">
        <f>AL246*1.12</f>
        <v>0</v>
      </c>
      <c r="AN246" s="206"/>
      <c r="AO246" s="203"/>
      <c r="AP246" s="203"/>
      <c r="AQ246" s="203"/>
      <c r="AR246" s="205" t="str">
        <f>IF(AI246=0,"",AL246/AI246)</f>
        <v/>
      </c>
      <c r="AS246" s="204"/>
      <c r="AT246" s="204"/>
      <c r="AU246" s="204"/>
      <c r="AV246" s="203">
        <f>AL246</f>
        <v>0</v>
      </c>
      <c r="AW246" s="203">
        <f>AV246*1.12</f>
        <v>0</v>
      </c>
      <c r="AX246" s="203"/>
      <c r="AY246" s="203"/>
      <c r="AZ246" s="203"/>
      <c r="BA246" s="203"/>
      <c r="BB246" s="203"/>
      <c r="BC246" s="203"/>
      <c r="BD246" s="203"/>
      <c r="BE246" s="203"/>
      <c r="BF246" s="203"/>
      <c r="BG246" s="203"/>
      <c r="BH246" s="203"/>
      <c r="BI246" s="203"/>
      <c r="BJ246" s="203"/>
      <c r="BK246" s="203"/>
      <c r="BL246" s="203"/>
      <c r="BM246" s="202"/>
      <c r="BN246" s="202"/>
      <c r="BO246" s="202"/>
      <c r="BP246" s="202"/>
      <c r="BQ246" s="202"/>
      <c r="BR246" s="202"/>
      <c r="BS246" s="202"/>
      <c r="BT246" s="202"/>
      <c r="BW246" s="241">
        <f>SUM(AY246:BL246)+SUM(AY249:BL249)</f>
        <v>0</v>
      </c>
      <c r="BX246" s="240">
        <f>AO246+AO249-BW246</f>
        <v>0</v>
      </c>
    </row>
    <row r="247" spans="1:76" s="57" customFormat="1" ht="23.25" customHeight="1" x14ac:dyDescent="0.25">
      <c r="A247" s="200"/>
      <c r="B247" s="216"/>
      <c r="C247" s="199" t="s">
        <v>6</v>
      </c>
      <c r="D247" s="199" t="s">
        <v>26</v>
      </c>
      <c r="E247" s="198">
        <f>E248</f>
        <v>3987659</v>
      </c>
      <c r="F247" s="198">
        <f>E247*1.12</f>
        <v>4466178.08</v>
      </c>
      <c r="G247" s="197"/>
      <c r="H247" s="196"/>
      <c r="I247" s="195">
        <f>I248</f>
        <v>278676</v>
      </c>
      <c r="J247" s="195">
        <f>I247*1.12</f>
        <v>312117.12000000005</v>
      </c>
      <c r="K247" s="227"/>
      <c r="L247" s="244"/>
      <c r="M247" s="193"/>
      <c r="N247" s="50">
        <f>P247</f>
        <v>2014674249.9999998</v>
      </c>
      <c r="O247" s="50">
        <f>Q247</f>
        <v>2256435160</v>
      </c>
      <c r="P247" s="51">
        <f>Q247/1.12</f>
        <v>2014674249.9999998</v>
      </c>
      <c r="Q247" s="192">
        <f>Q246</f>
        <v>2256435160</v>
      </c>
      <c r="R247" s="191"/>
      <c r="S247" s="190"/>
      <c r="T247" s="66"/>
      <c r="U247" s="66"/>
      <c r="V247" s="66"/>
      <c r="W247" s="66"/>
      <c r="X247" s="66"/>
      <c r="Y247" s="66"/>
      <c r="Z247" s="66"/>
      <c r="AA247" s="66"/>
      <c r="AB247" s="66"/>
      <c r="AC247" s="264">
        <f>AD247/1.12</f>
        <v>1548224.2529464285</v>
      </c>
      <c r="AD247" s="263">
        <f>15545+748922.86+535640.47366+433902.82964</f>
        <v>1734011.1633000001</v>
      </c>
      <c r="AE247" s="66"/>
      <c r="AF247" s="66">
        <f>AC247+Z247+W247+T247</f>
        <v>1548224.2529464285</v>
      </c>
      <c r="AG247" s="66">
        <f>AD247+AA247+X247+U247</f>
        <v>1734011.1633000001</v>
      </c>
      <c r="AH247" s="66"/>
      <c r="AI247" s="66">
        <f>AJ247/1.12</f>
        <v>278675.89285714284</v>
      </c>
      <c r="AJ247" s="66">
        <v>312117</v>
      </c>
      <c r="AK247" s="66"/>
      <c r="AL247" s="128">
        <f>AM247/1.12</f>
        <v>278676.12207142857</v>
      </c>
      <c r="AM247" s="90">
        <f>336043.47035+149483.78637-173410</f>
        <v>312117.25672</v>
      </c>
      <c r="AN247" s="66"/>
      <c r="AO247" s="64">
        <f>AL247-AI247</f>
        <v>0.22921428573317826</v>
      </c>
      <c r="AP247" s="64">
        <f>AM247-AJ247</f>
        <v>0.2567200000048615</v>
      </c>
      <c r="AQ247" s="62"/>
      <c r="AR247" s="189">
        <f>IF(AI247=0,"",AL247/AI247)</f>
        <v>1.0000008225120709</v>
      </c>
      <c r="AS247" s="63">
        <f>AL247</f>
        <v>278676.12207142857</v>
      </c>
      <c r="AT247" s="63"/>
      <c r="AU247" s="63"/>
      <c r="AV247" s="64">
        <f>AL247</f>
        <v>278676.12207142857</v>
      </c>
      <c r="AW247" s="64">
        <f>AV247*1.12</f>
        <v>312117.25672</v>
      </c>
      <c r="AX247" s="62"/>
      <c r="AY247" s="62"/>
      <c r="AZ247" s="62"/>
      <c r="BA247" s="62"/>
      <c r="BB247" s="62"/>
      <c r="BC247" s="62"/>
      <c r="BD247" s="62"/>
      <c r="BE247" s="62"/>
      <c r="BF247" s="62"/>
      <c r="BG247" s="62"/>
      <c r="BH247" s="62"/>
      <c r="BI247" s="62"/>
      <c r="BJ247" s="62"/>
      <c r="BK247" s="62"/>
      <c r="BL247" s="62"/>
      <c r="BM247" s="59"/>
      <c r="BN247" s="59"/>
      <c r="BO247" s="59"/>
      <c r="BP247" s="59"/>
      <c r="BQ247" s="59"/>
      <c r="BR247" s="59"/>
      <c r="BS247" s="59"/>
      <c r="BT247" s="59"/>
      <c r="BW247" s="188"/>
      <c r="BX247" s="188"/>
    </row>
    <row r="248" spans="1:76" ht="23.25" customHeight="1" x14ac:dyDescent="0.25">
      <c r="A248" s="200"/>
      <c r="B248" s="216"/>
      <c r="C248" s="187" t="s">
        <v>6</v>
      </c>
      <c r="D248" s="187" t="s">
        <v>5</v>
      </c>
      <c r="E248" s="186">
        <v>3987659</v>
      </c>
      <c r="F248" s="186">
        <f>E248*1.12</f>
        <v>4466178.08</v>
      </c>
      <c r="G248" s="197"/>
      <c r="H248" s="196"/>
      <c r="I248" s="183">
        <v>278676</v>
      </c>
      <c r="J248" s="183">
        <f>I248*1.12</f>
        <v>312117.12000000005</v>
      </c>
      <c r="K248" s="226"/>
      <c r="L248" s="244"/>
      <c r="M248" s="181"/>
      <c r="N248" s="50">
        <f>P248</f>
        <v>2014674249.9999998</v>
      </c>
      <c r="O248" s="50">
        <f>Q248</f>
        <v>2256435160</v>
      </c>
      <c r="P248" s="50">
        <f>Q248/1.12</f>
        <v>2014674249.9999998</v>
      </c>
      <c r="Q248" s="180">
        <f>Q247</f>
        <v>2256435160</v>
      </c>
      <c r="R248" s="56"/>
      <c r="S248" s="179"/>
      <c r="T248" s="46"/>
      <c r="U248" s="46"/>
      <c r="V248" s="46"/>
      <c r="W248" s="46"/>
      <c r="X248" s="46"/>
      <c r="Y248" s="46"/>
      <c r="Z248" s="46"/>
      <c r="AA248" s="46"/>
      <c r="AB248" s="46"/>
      <c r="AC248" s="262">
        <f>AD248/1.12</f>
        <v>1548224.2529464285</v>
      </c>
      <c r="AD248" s="261">
        <f>AD247</f>
        <v>1734011.1633000001</v>
      </c>
      <c r="AE248" s="46"/>
      <c r="AF248" s="46">
        <f>AC248+Z248+W248+T248</f>
        <v>1548224.2529464285</v>
      </c>
      <c r="AG248" s="46">
        <f>AD248+AA248+X248+U248</f>
        <v>1734011.1633000001</v>
      </c>
      <c r="AH248" s="46"/>
      <c r="AI248" s="46">
        <f>AI247</f>
        <v>278675.89285714284</v>
      </c>
      <c r="AJ248" s="46">
        <f>AJ247</f>
        <v>312117</v>
      </c>
      <c r="AK248" s="46"/>
      <c r="AL248" s="260">
        <f>AM248/1.12</f>
        <v>278676.12207142857</v>
      </c>
      <c r="AM248" s="137">
        <f>AM247</f>
        <v>312117.25672</v>
      </c>
      <c r="AN248" s="46"/>
      <c r="AO248" s="44">
        <f>AO247</f>
        <v>0.22921428573317826</v>
      </c>
      <c r="AP248" s="44">
        <f>AP247</f>
        <v>0.2567200000048615</v>
      </c>
      <c r="AQ248" s="41"/>
      <c r="AR248" s="178">
        <f>IF(AI248=0,"",AL248/AI248)</f>
        <v>1.0000008225120709</v>
      </c>
      <c r="AS248" s="42">
        <f>AL248</f>
        <v>278676.12207142857</v>
      </c>
      <c r="AT248" s="42"/>
      <c r="AU248" s="42"/>
      <c r="AV248" s="44">
        <f>AV247</f>
        <v>278676.12207142857</v>
      </c>
      <c r="AW248" s="44">
        <f>AV248*1.12</f>
        <v>312117.25672</v>
      </c>
      <c r="AX248" s="41"/>
      <c r="AY248" s="41"/>
      <c r="AZ248" s="41"/>
      <c r="BA248" s="41"/>
      <c r="BB248" s="41"/>
      <c r="BC248" s="41"/>
      <c r="BD248" s="41"/>
      <c r="BE248" s="41"/>
      <c r="BF248" s="62"/>
      <c r="BG248" s="41"/>
      <c r="BH248" s="41"/>
      <c r="BI248" s="41"/>
      <c r="BJ248" s="41"/>
      <c r="BK248" s="41"/>
      <c r="BL248" s="41"/>
      <c r="BM248" s="39"/>
      <c r="BN248" s="39"/>
      <c r="BO248" s="39"/>
      <c r="BP248" s="39"/>
      <c r="BQ248" s="39"/>
      <c r="BR248" s="39"/>
      <c r="BS248" s="39"/>
      <c r="BT248" s="39"/>
      <c r="BW248" s="188"/>
      <c r="BX248" s="188"/>
    </row>
    <row r="249" spans="1:76" s="201" customFormat="1" ht="18" customHeight="1" x14ac:dyDescent="0.25">
      <c r="A249" s="200"/>
      <c r="B249" s="216"/>
      <c r="C249" s="214" t="s">
        <v>9</v>
      </c>
      <c r="D249" s="214" t="s">
        <v>8</v>
      </c>
      <c r="E249" s="213"/>
      <c r="F249" s="213"/>
      <c r="G249" s="197"/>
      <c r="H249" s="196"/>
      <c r="I249" s="212"/>
      <c r="J249" s="212"/>
      <c r="K249" s="254" t="s">
        <v>40</v>
      </c>
      <c r="L249" s="253" t="s">
        <v>74</v>
      </c>
      <c r="M249" s="211" t="s">
        <v>13</v>
      </c>
      <c r="N249" s="210">
        <f>P249</f>
        <v>829571733.66071427</v>
      </c>
      <c r="O249" s="210">
        <f>Q249</f>
        <v>929120341.70000005</v>
      </c>
      <c r="P249" s="210">
        <f>Q249/1.12</f>
        <v>829571733.66071427</v>
      </c>
      <c r="Q249" s="209">
        <v>929120341.70000005</v>
      </c>
      <c r="R249" s="73" t="s">
        <v>53</v>
      </c>
      <c r="S249" s="208">
        <v>350</v>
      </c>
      <c r="T249" s="206"/>
      <c r="U249" s="206"/>
      <c r="V249" s="206"/>
      <c r="W249" s="206"/>
      <c r="X249" s="206"/>
      <c r="Y249" s="206"/>
      <c r="Z249" s="206"/>
      <c r="AA249" s="206"/>
      <c r="AB249" s="206"/>
      <c r="AC249" s="206">
        <f>752114+260393-3087</f>
        <v>1009420</v>
      </c>
      <c r="AD249" s="207">
        <f>AC249*1.12</f>
        <v>1130550.4000000001</v>
      </c>
      <c r="AE249" s="206">
        <f>105+167+78</f>
        <v>350</v>
      </c>
      <c r="AF249" s="206">
        <f>Z249+AC249+W249+T249</f>
        <v>1009420</v>
      </c>
      <c r="AG249" s="206">
        <f>AA249+AD249+X249+U249</f>
        <v>1130550.4000000001</v>
      </c>
      <c r="AH249" s="206">
        <f>AB249+AE249+Y249+V249</f>
        <v>350</v>
      </c>
      <c r="AI249" s="206"/>
      <c r="AJ249" s="206"/>
      <c r="AK249" s="206"/>
      <c r="AL249" s="206"/>
      <c r="AM249" s="203">
        <f>AL249*1.12</f>
        <v>0</v>
      </c>
      <c r="AN249" s="206"/>
      <c r="AO249" s="203"/>
      <c r="AP249" s="203"/>
      <c r="AQ249" s="203"/>
      <c r="AR249" s="205" t="str">
        <f>IF(AI249=0,"",AL249/AI249)</f>
        <v/>
      </c>
      <c r="AS249" s="204"/>
      <c r="AT249" s="204"/>
      <c r="AU249" s="204"/>
      <c r="AV249" s="203">
        <f>AL249</f>
        <v>0</v>
      </c>
      <c r="AW249" s="203">
        <f>AV249*1.12</f>
        <v>0</v>
      </c>
      <c r="AX249" s="203"/>
      <c r="AY249" s="203"/>
      <c r="AZ249" s="203"/>
      <c r="BA249" s="203"/>
      <c r="BB249" s="203"/>
      <c r="BC249" s="203"/>
      <c r="BD249" s="203"/>
      <c r="BE249" s="203"/>
      <c r="BF249" s="203"/>
      <c r="BG249" s="203"/>
      <c r="BH249" s="203"/>
      <c r="BI249" s="203"/>
      <c r="BJ249" s="203"/>
      <c r="BK249" s="203"/>
      <c r="BL249" s="203"/>
      <c r="BM249" s="202"/>
      <c r="BN249" s="202"/>
      <c r="BO249" s="202"/>
      <c r="BP249" s="202"/>
      <c r="BQ249" s="202"/>
      <c r="BR249" s="202"/>
      <c r="BS249" s="202"/>
      <c r="BT249" s="202"/>
      <c r="BW249" s="188"/>
      <c r="BX249" s="188"/>
    </row>
    <row r="250" spans="1:76" s="57" customFormat="1" ht="18" customHeight="1" x14ac:dyDescent="0.25">
      <c r="A250" s="200"/>
      <c r="B250" s="216"/>
      <c r="C250" s="199" t="s">
        <v>6</v>
      </c>
      <c r="D250" s="199" t="s">
        <v>26</v>
      </c>
      <c r="E250" s="198"/>
      <c r="F250" s="198"/>
      <c r="G250" s="197"/>
      <c r="H250" s="196"/>
      <c r="I250" s="195"/>
      <c r="J250" s="195"/>
      <c r="K250" s="252"/>
      <c r="L250" s="251"/>
      <c r="M250" s="193"/>
      <c r="N250" s="50">
        <f>P250</f>
        <v>829571733.66071427</v>
      </c>
      <c r="O250" s="50">
        <f>Q250</f>
        <v>929120341.70000005</v>
      </c>
      <c r="P250" s="51">
        <f>Q250/1.12</f>
        <v>829571733.66071427</v>
      </c>
      <c r="Q250" s="192">
        <f>Q249</f>
        <v>929120341.70000005</v>
      </c>
      <c r="R250" s="191"/>
      <c r="S250" s="190"/>
      <c r="T250" s="66"/>
      <c r="U250" s="66"/>
      <c r="V250" s="66"/>
      <c r="W250" s="66"/>
      <c r="X250" s="66"/>
      <c r="Y250" s="66"/>
      <c r="Z250" s="66"/>
      <c r="AA250" s="66"/>
      <c r="AB250" s="66"/>
      <c r="AC250" s="258">
        <f>190868.27538/1.12+(245842.699/1.12-2521.89807)+372074.15685/1.12+(188262.0012/1.12-105591.0725)-162830</f>
        <v>619277.68338535703</v>
      </c>
      <c r="AD250" s="259">
        <f>190868.27538+(245842.699-2521.89807)+372074.15685+(188262.0012-105591.0725*1.12)-162830*1.12</f>
        <v>693893.63316000008</v>
      </c>
      <c r="AE250" s="66"/>
      <c r="AF250" s="66">
        <f>AC250+Z250+W250+T250</f>
        <v>619277.68338535703</v>
      </c>
      <c r="AG250" s="66">
        <f>AD250+AA250+X250+U250</f>
        <v>693893.63316000008</v>
      </c>
      <c r="AH250" s="66"/>
      <c r="AI250" s="66"/>
      <c r="AJ250" s="66"/>
      <c r="AK250" s="66"/>
      <c r="AL250" s="258"/>
      <c r="AM250" s="129">
        <f>AL250*1.12</f>
        <v>0</v>
      </c>
      <c r="AN250" s="66"/>
      <c r="AO250" s="64">
        <f>AL250-AI250</f>
        <v>0</v>
      </c>
      <c r="AP250" s="64">
        <f>AM250-AJ250</f>
        <v>0</v>
      </c>
      <c r="AQ250" s="62"/>
      <c r="AR250" s="189" t="str">
        <f>IF(AI250=0,"",AL250/AI250)</f>
        <v/>
      </c>
      <c r="AS250" s="63"/>
      <c r="AT250" s="63">
        <f>AL250</f>
        <v>0</v>
      </c>
      <c r="AU250" s="63"/>
      <c r="AV250" s="64">
        <f>AL250</f>
        <v>0</v>
      </c>
      <c r="AW250" s="64">
        <f>AV250*1.12</f>
        <v>0</v>
      </c>
      <c r="AX250" s="62"/>
      <c r="AY250" s="62"/>
      <c r="AZ250" s="62"/>
      <c r="BA250" s="62"/>
      <c r="BB250" s="62"/>
      <c r="BC250" s="62"/>
      <c r="BD250" s="62"/>
      <c r="BE250" s="62"/>
      <c r="BF250" s="62"/>
      <c r="BG250" s="62"/>
      <c r="BH250" s="62"/>
      <c r="BI250" s="62"/>
      <c r="BJ250" s="62"/>
      <c r="BK250" s="62"/>
      <c r="BL250" s="62"/>
      <c r="BM250" s="59"/>
      <c r="BN250" s="59"/>
      <c r="BO250" s="59"/>
      <c r="BP250" s="59"/>
      <c r="BQ250" s="59"/>
      <c r="BR250" s="59"/>
      <c r="BS250" s="59"/>
      <c r="BT250" s="59"/>
      <c r="BW250" s="188"/>
      <c r="BX250" s="188"/>
    </row>
    <row r="251" spans="1:76" ht="18" customHeight="1" x14ac:dyDescent="0.25">
      <c r="A251" s="55"/>
      <c r="B251" s="215"/>
      <c r="C251" s="187" t="s">
        <v>6</v>
      </c>
      <c r="D251" s="187" t="s">
        <v>5</v>
      </c>
      <c r="E251" s="186"/>
      <c r="F251" s="186"/>
      <c r="G251" s="185"/>
      <c r="H251" s="184"/>
      <c r="I251" s="183"/>
      <c r="J251" s="183"/>
      <c r="K251" s="249"/>
      <c r="L251" s="248"/>
      <c r="M251" s="181"/>
      <c r="N251" s="50">
        <f>P251</f>
        <v>829571733.66071427</v>
      </c>
      <c r="O251" s="50">
        <f>Q251</f>
        <v>929120341.70000005</v>
      </c>
      <c r="P251" s="50">
        <f>Q251/1.12</f>
        <v>829571733.66071427</v>
      </c>
      <c r="Q251" s="180">
        <f>Q250</f>
        <v>929120341.70000005</v>
      </c>
      <c r="R251" s="56"/>
      <c r="S251" s="179"/>
      <c r="T251" s="46"/>
      <c r="U251" s="46"/>
      <c r="V251" s="46"/>
      <c r="W251" s="46"/>
      <c r="X251" s="46"/>
      <c r="Y251" s="46"/>
      <c r="Z251" s="46"/>
      <c r="AA251" s="46"/>
      <c r="AB251" s="46"/>
      <c r="AC251" s="46">
        <f>AC250</f>
        <v>619277.68338535703</v>
      </c>
      <c r="AD251" s="47">
        <f>AC251*1.12</f>
        <v>693591.00539159996</v>
      </c>
      <c r="AE251" s="46"/>
      <c r="AF251" s="46">
        <f>AC251+Z251+W251+T251</f>
        <v>619277.68338535703</v>
      </c>
      <c r="AG251" s="46">
        <f>AD251+AA251+X251+U251</f>
        <v>693591.00539159996</v>
      </c>
      <c r="AH251" s="46"/>
      <c r="AI251" s="46"/>
      <c r="AJ251" s="46"/>
      <c r="AK251" s="46"/>
      <c r="AL251" s="46">
        <f>AL250</f>
        <v>0</v>
      </c>
      <c r="AM251" s="41">
        <f>AL251*1.12</f>
        <v>0</v>
      </c>
      <c r="AN251" s="46"/>
      <c r="AO251" s="44">
        <f>AO250</f>
        <v>0</v>
      </c>
      <c r="AP251" s="44">
        <f>AP250</f>
        <v>0</v>
      </c>
      <c r="AQ251" s="41"/>
      <c r="AR251" s="178" t="str">
        <f>IF(AI251=0,"",AL251/AI251)</f>
        <v/>
      </c>
      <c r="AS251" s="42"/>
      <c r="AT251" s="42">
        <f>AL251</f>
        <v>0</v>
      </c>
      <c r="AU251" s="42"/>
      <c r="AV251" s="44">
        <f>AV250</f>
        <v>0</v>
      </c>
      <c r="AW251" s="44">
        <f>AV251*1.12</f>
        <v>0</v>
      </c>
      <c r="AX251" s="41"/>
      <c r="AY251" s="41"/>
      <c r="AZ251" s="41"/>
      <c r="BA251" s="41"/>
      <c r="BB251" s="41"/>
      <c r="BC251" s="41"/>
      <c r="BD251" s="41"/>
      <c r="BE251" s="41"/>
      <c r="BF251" s="62"/>
      <c r="BG251" s="41"/>
      <c r="BH251" s="41"/>
      <c r="BI251" s="41"/>
      <c r="BJ251" s="41"/>
      <c r="BK251" s="41"/>
      <c r="BL251" s="41"/>
      <c r="BM251" s="39"/>
      <c r="BN251" s="39"/>
      <c r="BO251" s="39"/>
      <c r="BP251" s="39"/>
      <c r="BQ251" s="39"/>
      <c r="BR251" s="39"/>
      <c r="BS251" s="39"/>
      <c r="BT251" s="39"/>
      <c r="BW251" s="177"/>
      <c r="BX251" s="177"/>
    </row>
    <row r="252" spans="1:76" s="201" customFormat="1" ht="17.25" customHeight="1" x14ac:dyDescent="0.25">
      <c r="A252" s="72"/>
      <c r="B252" s="73" t="s">
        <v>73</v>
      </c>
      <c r="C252" s="214" t="s">
        <v>9</v>
      </c>
      <c r="D252" s="214" t="s">
        <v>8</v>
      </c>
      <c r="E252" s="213">
        <v>3323049</v>
      </c>
      <c r="F252" s="213">
        <f>E252*1.12</f>
        <v>3721814.8800000004</v>
      </c>
      <c r="G252" s="243">
        <v>1717</v>
      </c>
      <c r="H252" s="242"/>
      <c r="I252" s="212"/>
      <c r="J252" s="212">
        <f>I252*1.12</f>
        <v>0</v>
      </c>
      <c r="K252" s="254" t="s">
        <v>40</v>
      </c>
      <c r="L252" s="253" t="s">
        <v>72</v>
      </c>
      <c r="M252" s="211" t="s">
        <v>13</v>
      </c>
      <c r="N252" s="210">
        <f>P252</f>
        <v>248871524.99999997</v>
      </c>
      <c r="O252" s="210">
        <f>Q252</f>
        <v>278736108</v>
      </c>
      <c r="P252" s="210">
        <f>Q252/1.12</f>
        <v>248871524.99999997</v>
      </c>
      <c r="Q252" s="209">
        <v>278736108</v>
      </c>
      <c r="R252" s="73" t="s">
        <v>53</v>
      </c>
      <c r="S252" s="208">
        <v>105</v>
      </c>
      <c r="T252" s="206"/>
      <c r="U252" s="206"/>
      <c r="V252" s="206"/>
      <c r="W252" s="206"/>
      <c r="X252" s="206"/>
      <c r="Y252" s="206"/>
      <c r="Z252" s="206"/>
      <c r="AA252" s="206"/>
      <c r="AB252" s="206"/>
      <c r="AC252" s="206">
        <f>318592-35913</f>
        <v>282679</v>
      </c>
      <c r="AD252" s="207">
        <f>AC252*1.12</f>
        <v>316600.48000000004</v>
      </c>
      <c r="AE252" s="206">
        <v>105</v>
      </c>
      <c r="AF252" s="206">
        <f>Z252+AC252+W252+T252</f>
        <v>282679</v>
      </c>
      <c r="AG252" s="206">
        <f>AA252+AD252+X252+U252</f>
        <v>316600.48000000004</v>
      </c>
      <c r="AH252" s="206">
        <f>AB252+AE252+Y252+V252</f>
        <v>105</v>
      </c>
      <c r="AI252" s="206"/>
      <c r="AJ252" s="206">
        <f>AI252*1.12</f>
        <v>0</v>
      </c>
      <c r="AK252" s="206"/>
      <c r="AL252" s="206"/>
      <c r="AM252" s="203">
        <f>AL252*1.12</f>
        <v>0</v>
      </c>
      <c r="AN252" s="206"/>
      <c r="AO252" s="203"/>
      <c r="AP252" s="203"/>
      <c r="AQ252" s="203"/>
      <c r="AR252" s="205" t="str">
        <f>IF(AI252=0,"",AL252/AI252)</f>
        <v/>
      </c>
      <c r="AS252" s="204"/>
      <c r="AT252" s="204"/>
      <c r="AU252" s="204"/>
      <c r="AV252" s="203">
        <f>AL252</f>
        <v>0</v>
      </c>
      <c r="AW252" s="203">
        <f>AV252*1.12</f>
        <v>0</v>
      </c>
      <c r="AX252" s="203"/>
      <c r="AY252" s="203"/>
      <c r="AZ252" s="203"/>
      <c r="BA252" s="203"/>
      <c r="BB252" s="203"/>
      <c r="BC252" s="203"/>
      <c r="BD252" s="203"/>
      <c r="BE252" s="203"/>
      <c r="BF252" s="203"/>
      <c r="BG252" s="203"/>
      <c r="BH252" s="203"/>
      <c r="BI252" s="203"/>
      <c r="BJ252" s="203"/>
      <c r="BK252" s="203"/>
      <c r="BL252" s="203"/>
      <c r="BM252" s="202"/>
      <c r="BN252" s="202"/>
      <c r="BO252" s="202"/>
      <c r="BP252" s="202"/>
      <c r="BQ252" s="202"/>
      <c r="BR252" s="202"/>
      <c r="BS252" s="202"/>
      <c r="BT252" s="202"/>
      <c r="BW252" s="241">
        <f>SUM(AY252:BL296)</f>
        <v>0</v>
      </c>
      <c r="BX252" s="240">
        <f>BW252-(AO252+AO255+AO258+AO261+AO264+AO267+AO270+AO273+AO276+AO279+AO282+AO285+AO288+AO291+AO294)</f>
        <v>0</v>
      </c>
    </row>
    <row r="253" spans="1:76" s="57" customFormat="1" ht="17.25" customHeight="1" x14ac:dyDescent="0.25">
      <c r="A253" s="200"/>
      <c r="B253" s="191"/>
      <c r="C253" s="199" t="s">
        <v>6</v>
      </c>
      <c r="D253" s="199" t="s">
        <v>26</v>
      </c>
      <c r="E253" s="198">
        <f>E254</f>
        <v>3323049</v>
      </c>
      <c r="F253" s="198">
        <f>E253*1.12</f>
        <v>3721814.8800000004</v>
      </c>
      <c r="G253" s="197"/>
      <c r="H253" s="196"/>
      <c r="I253" s="195">
        <f>I254</f>
        <v>1113248</v>
      </c>
      <c r="J253" s="195">
        <f>I253*1.12</f>
        <v>1246837.76</v>
      </c>
      <c r="K253" s="252"/>
      <c r="L253" s="251"/>
      <c r="M253" s="193"/>
      <c r="N253" s="50">
        <f>P253</f>
        <v>248871524.99999997</v>
      </c>
      <c r="O253" s="50">
        <f>Q253</f>
        <v>278736108</v>
      </c>
      <c r="P253" s="51">
        <f>Q253/1.12</f>
        <v>248871524.99999997</v>
      </c>
      <c r="Q253" s="192">
        <f>Q252</f>
        <v>278736108</v>
      </c>
      <c r="R253" s="191"/>
      <c r="S253" s="190"/>
      <c r="T253" s="66"/>
      <c r="U253" s="66"/>
      <c r="V253" s="66"/>
      <c r="W253" s="66"/>
      <c r="X253" s="66"/>
      <c r="Y253" s="66"/>
      <c r="Z253" s="66"/>
      <c r="AA253" s="66"/>
      <c r="AB253" s="66"/>
      <c r="AC253" s="250">
        <f>AC254</f>
        <v>198062.86709821428</v>
      </c>
      <c r="AD253" s="247">
        <f>AC253*1.12</f>
        <v>221830.41115</v>
      </c>
      <c r="AE253" s="66"/>
      <c r="AF253" s="66">
        <f>AC253+Z253+W253+T253</f>
        <v>198062.86709821428</v>
      </c>
      <c r="AG253" s="66">
        <f>AD253+AA253+X253+U253</f>
        <v>221830.41115</v>
      </c>
      <c r="AH253" s="66"/>
      <c r="AI253" s="66"/>
      <c r="AJ253" s="66">
        <f>AI253*1.12</f>
        <v>0</v>
      </c>
      <c r="AK253" s="66"/>
      <c r="AL253" s="117">
        <f>AL254</f>
        <v>0</v>
      </c>
      <c r="AM253" s="64">
        <f>AL253*1.12</f>
        <v>0</v>
      </c>
      <c r="AN253" s="66"/>
      <c r="AO253" s="64">
        <f>AL253-AI253</f>
        <v>0</v>
      </c>
      <c r="AP253" s="64">
        <f>AM253-AJ253</f>
        <v>0</v>
      </c>
      <c r="AQ253" s="62"/>
      <c r="AR253" s="189" t="str">
        <f>IF(AI253=0,"",AL253/AI253)</f>
        <v/>
      </c>
      <c r="AS253" s="63"/>
      <c r="AT253" s="63">
        <f>AL253</f>
        <v>0</v>
      </c>
      <c r="AU253" s="63"/>
      <c r="AV253" s="64">
        <f>AL253</f>
        <v>0</v>
      </c>
      <c r="AW253" s="64">
        <f>AV253*1.12</f>
        <v>0</v>
      </c>
      <c r="AX253" s="62"/>
      <c r="AY253" s="62"/>
      <c r="AZ253" s="62"/>
      <c r="BA253" s="62"/>
      <c r="BB253" s="62"/>
      <c r="BC253" s="62"/>
      <c r="BD253" s="62"/>
      <c r="BE253" s="62"/>
      <c r="BF253" s="62"/>
      <c r="BG253" s="62"/>
      <c r="BH253" s="62"/>
      <c r="BI253" s="62"/>
      <c r="BJ253" s="62"/>
      <c r="BK253" s="62"/>
      <c r="BL253" s="62"/>
      <c r="BM253" s="59"/>
      <c r="BN253" s="59"/>
      <c r="BO253" s="59"/>
      <c r="BP253" s="59"/>
      <c r="BQ253" s="59"/>
      <c r="BR253" s="59"/>
      <c r="BS253" s="59"/>
      <c r="BT253" s="59"/>
      <c r="BW253" s="188"/>
      <c r="BX253" s="188"/>
    </row>
    <row r="254" spans="1:76" ht="17.25" customHeight="1" x14ac:dyDescent="0.25">
      <c r="A254" s="200"/>
      <c r="B254" s="191"/>
      <c r="C254" s="187" t="s">
        <v>6</v>
      </c>
      <c r="D254" s="187" t="s">
        <v>5</v>
      </c>
      <c r="E254" s="186">
        <v>3323049</v>
      </c>
      <c r="F254" s="186">
        <f>E254*1.12</f>
        <v>3721814.8800000004</v>
      </c>
      <c r="G254" s="197"/>
      <c r="H254" s="196"/>
      <c r="I254" s="183">
        <v>1113248</v>
      </c>
      <c r="J254" s="183">
        <f>I254*1.12</f>
        <v>1246837.76</v>
      </c>
      <c r="K254" s="249"/>
      <c r="L254" s="248"/>
      <c r="M254" s="181"/>
      <c r="N254" s="50">
        <f>P254</f>
        <v>248871524.99999997</v>
      </c>
      <c r="O254" s="50">
        <f>Q254</f>
        <v>278736108</v>
      </c>
      <c r="P254" s="50">
        <f>Q254/1.12</f>
        <v>248871524.99999997</v>
      </c>
      <c r="Q254" s="180">
        <f>Q253</f>
        <v>278736108</v>
      </c>
      <c r="R254" s="56"/>
      <c r="S254" s="179"/>
      <c r="T254" s="46"/>
      <c r="U254" s="46"/>
      <c r="V254" s="46"/>
      <c r="W254" s="46"/>
      <c r="X254" s="46"/>
      <c r="Y254" s="46"/>
      <c r="Z254" s="46"/>
      <c r="AA254" s="46"/>
      <c r="AB254" s="46"/>
      <c r="AC254" s="46">
        <f>221830.41115/1.12</f>
        <v>198062.86709821428</v>
      </c>
      <c r="AD254" s="47">
        <f>AC254*1.12</f>
        <v>221830.41115</v>
      </c>
      <c r="AE254" s="46"/>
      <c r="AF254" s="46">
        <f>AC254+Z254+W254+T254</f>
        <v>198062.86709821428</v>
      </c>
      <c r="AG254" s="46">
        <f>AD254+AA254+X254+U254</f>
        <v>221830.41115</v>
      </c>
      <c r="AH254" s="46"/>
      <c r="AI254" s="46">
        <f>AI253</f>
        <v>0</v>
      </c>
      <c r="AJ254" s="46">
        <f>AI254*1.12</f>
        <v>0</v>
      </c>
      <c r="AK254" s="46"/>
      <c r="AL254" s="46"/>
      <c r="AM254" s="41">
        <f>AL254*1.12</f>
        <v>0</v>
      </c>
      <c r="AN254" s="46"/>
      <c r="AO254" s="44">
        <f>AO253</f>
        <v>0</v>
      </c>
      <c r="AP254" s="44">
        <f>AP253</f>
        <v>0</v>
      </c>
      <c r="AQ254" s="41"/>
      <c r="AR254" s="178" t="str">
        <f>IF(AI254=0,"",AL254/AI254)</f>
        <v/>
      </c>
      <c r="AS254" s="42"/>
      <c r="AT254" s="42">
        <f>AL254</f>
        <v>0</v>
      </c>
      <c r="AU254" s="42"/>
      <c r="AV254" s="44">
        <f>AV253</f>
        <v>0</v>
      </c>
      <c r="AW254" s="44">
        <f>AV254*1.12</f>
        <v>0</v>
      </c>
      <c r="AX254" s="41"/>
      <c r="AY254" s="41"/>
      <c r="AZ254" s="41"/>
      <c r="BA254" s="41"/>
      <c r="BB254" s="41"/>
      <c r="BC254" s="41"/>
      <c r="BD254" s="41"/>
      <c r="BE254" s="41"/>
      <c r="BF254" s="62"/>
      <c r="BG254" s="41"/>
      <c r="BH254" s="41"/>
      <c r="BI254" s="41"/>
      <c r="BJ254" s="41"/>
      <c r="BK254" s="41"/>
      <c r="BL254" s="41"/>
      <c r="BM254" s="39"/>
      <c r="BN254" s="39"/>
      <c r="BO254" s="39"/>
      <c r="BP254" s="39"/>
      <c r="BQ254" s="39"/>
      <c r="BR254" s="39"/>
      <c r="BS254" s="39"/>
      <c r="BT254" s="39"/>
      <c r="BW254" s="188"/>
      <c r="BX254" s="188"/>
    </row>
    <row r="255" spans="1:76" ht="17.25" customHeight="1" x14ac:dyDescent="0.25">
      <c r="A255" s="200"/>
      <c r="B255" s="191"/>
      <c r="C255" s="214" t="s">
        <v>9</v>
      </c>
      <c r="D255" s="214" t="s">
        <v>8</v>
      </c>
      <c r="E255" s="213"/>
      <c r="F255" s="213">
        <f>E255*1.12</f>
        <v>0</v>
      </c>
      <c r="G255" s="197"/>
      <c r="H255" s="196"/>
      <c r="I255" s="212"/>
      <c r="J255" s="212">
        <f>I255*1.12</f>
        <v>0</v>
      </c>
      <c r="K255" s="254" t="s">
        <v>64</v>
      </c>
      <c r="L255" s="257" t="s">
        <v>71</v>
      </c>
      <c r="M255" s="211" t="s">
        <v>13</v>
      </c>
      <c r="N255" s="210">
        <f>P255</f>
        <v>97178404.999999985</v>
      </c>
      <c r="O255" s="210">
        <f>Q255</f>
        <v>108839813.59999999</v>
      </c>
      <c r="P255" s="210">
        <f>Q255/1.12</f>
        <v>97178404.999999985</v>
      </c>
      <c r="Q255" s="209">
        <v>108839813.59999999</v>
      </c>
      <c r="R255" s="73" t="s">
        <v>53</v>
      </c>
      <c r="S255" s="208">
        <v>41</v>
      </c>
      <c r="T255" s="206"/>
      <c r="U255" s="206"/>
      <c r="V255" s="206"/>
      <c r="W255" s="206"/>
      <c r="X255" s="206"/>
      <c r="Y255" s="206"/>
      <c r="Z255" s="206"/>
      <c r="AA255" s="206"/>
      <c r="AB255" s="206"/>
      <c r="AC255" s="206">
        <f>96834-10210</f>
        <v>86624</v>
      </c>
      <c r="AD255" s="207">
        <f>AC255*1.12</f>
        <v>97018.880000000005</v>
      </c>
      <c r="AE255" s="206">
        <v>41</v>
      </c>
      <c r="AF255" s="206">
        <f>Z255+AC255+W255+T255</f>
        <v>86624</v>
      </c>
      <c r="AG255" s="206">
        <f>AA255+AD255+X255+U255</f>
        <v>97018.880000000005</v>
      </c>
      <c r="AH255" s="206">
        <f>AB255+AE255+Y255+V255</f>
        <v>41</v>
      </c>
      <c r="AI255" s="206"/>
      <c r="AJ255" s="206"/>
      <c r="AK255" s="206"/>
      <c r="AL255" s="206"/>
      <c r="AM255" s="203">
        <f>AL255*1.12</f>
        <v>0</v>
      </c>
      <c r="AN255" s="206"/>
      <c r="AO255" s="203"/>
      <c r="AP255" s="203"/>
      <c r="AQ255" s="203"/>
      <c r="AR255" s="205" t="str">
        <f>IF(AI255=0,"",AL255/AI255)</f>
        <v/>
      </c>
      <c r="AS255" s="204"/>
      <c r="AT255" s="204"/>
      <c r="AU255" s="204"/>
      <c r="AV255" s="203">
        <f>AL255</f>
        <v>0</v>
      </c>
      <c r="AW255" s="203">
        <f>AV255*1.12</f>
        <v>0</v>
      </c>
      <c r="AX255" s="203"/>
      <c r="AY255" s="203"/>
      <c r="AZ255" s="203"/>
      <c r="BA255" s="203"/>
      <c r="BB255" s="203"/>
      <c r="BC255" s="203"/>
      <c r="BD255" s="203"/>
      <c r="BE255" s="203"/>
      <c r="BF255" s="203"/>
      <c r="BG255" s="203"/>
      <c r="BH255" s="203"/>
      <c r="BI255" s="203"/>
      <c r="BJ255" s="203"/>
      <c r="BK255" s="203"/>
      <c r="BL255" s="203"/>
      <c r="BM255" s="202"/>
      <c r="BN255" s="202"/>
      <c r="BO255" s="202"/>
      <c r="BP255" s="202"/>
      <c r="BQ255" s="202"/>
      <c r="BR255" s="202"/>
      <c r="BS255" s="202"/>
      <c r="BT255" s="202"/>
      <c r="BU255" s="201"/>
      <c r="BV255" s="201"/>
      <c r="BW255" s="188"/>
      <c r="BX255" s="188"/>
    </row>
    <row r="256" spans="1:76" ht="17.25" customHeight="1" x14ac:dyDescent="0.25">
      <c r="A256" s="200"/>
      <c r="B256" s="191"/>
      <c r="C256" s="199" t="s">
        <v>6</v>
      </c>
      <c r="D256" s="199" t="s">
        <v>26</v>
      </c>
      <c r="E256" s="198"/>
      <c r="F256" s="198">
        <f>E256*1.12</f>
        <v>0</v>
      </c>
      <c r="G256" s="197"/>
      <c r="H256" s="196"/>
      <c r="I256" s="195"/>
      <c r="J256" s="195">
        <f>I256*1.12</f>
        <v>0</v>
      </c>
      <c r="K256" s="252"/>
      <c r="L256" s="256"/>
      <c r="M256" s="193"/>
      <c r="N256" s="50">
        <f>P256</f>
        <v>97178404.999999985</v>
      </c>
      <c r="O256" s="50">
        <f>Q256</f>
        <v>108839813.59999999</v>
      </c>
      <c r="P256" s="51">
        <f>Q256/1.12</f>
        <v>97178404.999999985</v>
      </c>
      <c r="Q256" s="192">
        <f>Q255</f>
        <v>108839813.59999999</v>
      </c>
      <c r="R256" s="191"/>
      <c r="S256" s="190"/>
      <c r="T256" s="66"/>
      <c r="U256" s="66"/>
      <c r="V256" s="66"/>
      <c r="W256" s="66"/>
      <c r="X256" s="66"/>
      <c r="Y256" s="66"/>
      <c r="Z256" s="66"/>
      <c r="AA256" s="66"/>
      <c r="AB256" s="66"/>
      <c r="AC256" s="250">
        <f>AC257</f>
        <v>86476.703901785717</v>
      </c>
      <c r="AD256" s="247">
        <f>AC256*1.12</f>
        <v>96853.908370000019</v>
      </c>
      <c r="AE256" s="66"/>
      <c r="AF256" s="66">
        <f>AC256+Z256+W256+T256</f>
        <v>86476.703901785717</v>
      </c>
      <c r="AG256" s="66">
        <f>AD256+AA256+X256+U256</f>
        <v>96853.908370000019</v>
      </c>
      <c r="AH256" s="66"/>
      <c r="AI256" s="66"/>
      <c r="AJ256" s="66"/>
      <c r="AK256" s="66"/>
      <c r="AL256" s="117">
        <f>AL257</f>
        <v>0</v>
      </c>
      <c r="AM256" s="64">
        <f>AL256*1.12</f>
        <v>0</v>
      </c>
      <c r="AN256" s="66"/>
      <c r="AO256" s="64">
        <f>AL256-AI256</f>
        <v>0</v>
      </c>
      <c r="AP256" s="64">
        <f>AM256-AJ256</f>
        <v>0</v>
      </c>
      <c r="AQ256" s="62"/>
      <c r="AR256" s="189" t="str">
        <f>IF(AI256=0,"",AL256/AI256)</f>
        <v/>
      </c>
      <c r="AS256" s="63"/>
      <c r="AT256" s="63">
        <f>AL256</f>
        <v>0</v>
      </c>
      <c r="AU256" s="63"/>
      <c r="AV256" s="64">
        <f>AL256</f>
        <v>0</v>
      </c>
      <c r="AW256" s="64">
        <f>AV256*1.12</f>
        <v>0</v>
      </c>
      <c r="AX256" s="62"/>
      <c r="AY256" s="62"/>
      <c r="AZ256" s="62"/>
      <c r="BA256" s="62"/>
      <c r="BB256" s="62"/>
      <c r="BC256" s="62"/>
      <c r="BD256" s="62"/>
      <c r="BE256" s="62"/>
      <c r="BF256" s="62"/>
      <c r="BG256" s="62"/>
      <c r="BH256" s="62"/>
      <c r="BI256" s="62"/>
      <c r="BJ256" s="62"/>
      <c r="BK256" s="62"/>
      <c r="BL256" s="62"/>
      <c r="BM256" s="59"/>
      <c r="BN256" s="59"/>
      <c r="BO256" s="59"/>
      <c r="BP256" s="59"/>
      <c r="BQ256" s="59"/>
      <c r="BR256" s="59"/>
      <c r="BS256" s="59"/>
      <c r="BT256" s="59"/>
      <c r="BU256" s="57"/>
      <c r="BV256" s="57"/>
      <c r="BW256" s="188"/>
      <c r="BX256" s="188"/>
    </row>
    <row r="257" spans="1:76" ht="17.25" customHeight="1" x14ac:dyDescent="0.25">
      <c r="A257" s="200"/>
      <c r="B257" s="191"/>
      <c r="C257" s="187" t="s">
        <v>6</v>
      </c>
      <c r="D257" s="187" t="s">
        <v>5</v>
      </c>
      <c r="E257" s="186"/>
      <c r="F257" s="186">
        <f>E257*1.12</f>
        <v>0</v>
      </c>
      <c r="G257" s="197"/>
      <c r="H257" s="196"/>
      <c r="I257" s="183"/>
      <c r="J257" s="183">
        <f>I257*1.12</f>
        <v>0</v>
      </c>
      <c r="K257" s="249"/>
      <c r="L257" s="255"/>
      <c r="M257" s="181"/>
      <c r="N257" s="50">
        <f>P257</f>
        <v>97178404.999999985</v>
      </c>
      <c r="O257" s="50">
        <f>Q257</f>
        <v>108839813.59999999</v>
      </c>
      <c r="P257" s="50">
        <f>Q257/1.12</f>
        <v>97178404.999999985</v>
      </c>
      <c r="Q257" s="180">
        <f>Q256</f>
        <v>108839813.59999999</v>
      </c>
      <c r="R257" s="56"/>
      <c r="S257" s="179"/>
      <c r="T257" s="46"/>
      <c r="U257" s="46"/>
      <c r="V257" s="46"/>
      <c r="W257" s="46"/>
      <c r="X257" s="46"/>
      <c r="Y257" s="46"/>
      <c r="Z257" s="46"/>
      <c r="AA257" s="46"/>
      <c r="AB257" s="46"/>
      <c r="AC257" s="46">
        <f>96853.90837/1.12</f>
        <v>86476.703901785717</v>
      </c>
      <c r="AD257" s="47">
        <f>AC257*1.12</f>
        <v>96853.908370000019</v>
      </c>
      <c r="AE257" s="46"/>
      <c r="AF257" s="46">
        <f>AC257+Z257+W257+T257</f>
        <v>86476.703901785717</v>
      </c>
      <c r="AG257" s="46">
        <f>AD257+AA257+X257+U257</f>
        <v>96853.908370000019</v>
      </c>
      <c r="AH257" s="46"/>
      <c r="AI257" s="46"/>
      <c r="AJ257" s="46"/>
      <c r="AK257" s="46"/>
      <c r="AL257" s="46"/>
      <c r="AM257" s="41">
        <f>AL257*1.12</f>
        <v>0</v>
      </c>
      <c r="AN257" s="46"/>
      <c r="AO257" s="44">
        <f>AO256</f>
        <v>0</v>
      </c>
      <c r="AP257" s="44">
        <f>AP256</f>
        <v>0</v>
      </c>
      <c r="AQ257" s="41"/>
      <c r="AR257" s="178" t="str">
        <f>IF(AI257=0,"",AL257/AI257)</f>
        <v/>
      </c>
      <c r="AS257" s="42"/>
      <c r="AT257" s="42">
        <f>AL257</f>
        <v>0</v>
      </c>
      <c r="AU257" s="42"/>
      <c r="AV257" s="44">
        <f>AV256</f>
        <v>0</v>
      </c>
      <c r="AW257" s="44">
        <f>AV257*1.12</f>
        <v>0</v>
      </c>
      <c r="AX257" s="41"/>
      <c r="AY257" s="41"/>
      <c r="AZ257" s="41"/>
      <c r="BA257" s="41"/>
      <c r="BB257" s="41"/>
      <c r="BC257" s="41"/>
      <c r="BD257" s="41"/>
      <c r="BE257" s="41"/>
      <c r="BF257" s="62"/>
      <c r="BG257" s="41"/>
      <c r="BH257" s="41"/>
      <c r="BI257" s="41"/>
      <c r="BJ257" s="41"/>
      <c r="BK257" s="41"/>
      <c r="BL257" s="41"/>
      <c r="BM257" s="39"/>
      <c r="BN257" s="39"/>
      <c r="BO257" s="39"/>
      <c r="BP257" s="39"/>
      <c r="BQ257" s="39"/>
      <c r="BR257" s="39"/>
      <c r="BS257" s="39"/>
      <c r="BT257" s="39"/>
      <c r="BW257" s="188"/>
      <c r="BX257" s="188"/>
    </row>
    <row r="258" spans="1:76" ht="17.25" customHeight="1" x14ac:dyDescent="0.25">
      <c r="A258" s="200"/>
      <c r="B258" s="191"/>
      <c r="C258" s="214" t="s">
        <v>9</v>
      </c>
      <c r="D258" s="214" t="s">
        <v>8</v>
      </c>
      <c r="E258" s="213"/>
      <c r="F258" s="213">
        <f>E258*1.12</f>
        <v>0</v>
      </c>
      <c r="G258" s="197"/>
      <c r="H258" s="196"/>
      <c r="I258" s="212"/>
      <c r="J258" s="212">
        <f>I258*1.12</f>
        <v>0</v>
      </c>
      <c r="K258" s="254" t="s">
        <v>62</v>
      </c>
      <c r="L258" s="253" t="s">
        <v>70</v>
      </c>
      <c r="M258" s="211" t="s">
        <v>13</v>
      </c>
      <c r="N258" s="210">
        <f>P258</f>
        <v>18961640</v>
      </c>
      <c r="O258" s="210">
        <f>Q258</f>
        <v>21237036.800000001</v>
      </c>
      <c r="P258" s="210">
        <f>Q258/1.12</f>
        <v>18961640</v>
      </c>
      <c r="Q258" s="209">
        <v>21237036.800000001</v>
      </c>
      <c r="R258" s="73" t="s">
        <v>53</v>
      </c>
      <c r="S258" s="208">
        <v>8</v>
      </c>
      <c r="T258" s="206"/>
      <c r="U258" s="206"/>
      <c r="V258" s="206"/>
      <c r="W258" s="206"/>
      <c r="X258" s="206"/>
      <c r="Y258" s="206"/>
      <c r="Z258" s="206"/>
      <c r="AA258" s="206"/>
      <c r="AB258" s="206"/>
      <c r="AC258" s="206">
        <f>19135+5475</f>
        <v>24610</v>
      </c>
      <c r="AD258" s="207">
        <f>AC258*1.12</f>
        <v>27563.200000000004</v>
      </c>
      <c r="AE258" s="206">
        <v>8</v>
      </c>
      <c r="AF258" s="206">
        <f>Z258+AC258+W258+T258</f>
        <v>24610</v>
      </c>
      <c r="AG258" s="206">
        <f>AA258+AD258+X258+U258</f>
        <v>27563.200000000004</v>
      </c>
      <c r="AH258" s="206">
        <f>AB258+AE258+Y258+V258</f>
        <v>8</v>
      </c>
      <c r="AI258" s="206"/>
      <c r="AJ258" s="206"/>
      <c r="AK258" s="206"/>
      <c r="AL258" s="206"/>
      <c r="AM258" s="203">
        <f>AL258*1.12</f>
        <v>0</v>
      </c>
      <c r="AN258" s="206"/>
      <c r="AO258" s="203"/>
      <c r="AP258" s="203"/>
      <c r="AQ258" s="203"/>
      <c r="AR258" s="205" t="str">
        <f>IF(AI258=0,"",AL258/AI258)</f>
        <v/>
      </c>
      <c r="AS258" s="204"/>
      <c r="AT258" s="204"/>
      <c r="AU258" s="204"/>
      <c r="AV258" s="203">
        <f>AL258</f>
        <v>0</v>
      </c>
      <c r="AW258" s="203">
        <f>AV258*1.12</f>
        <v>0</v>
      </c>
      <c r="AX258" s="203"/>
      <c r="AY258" s="203"/>
      <c r="AZ258" s="203"/>
      <c r="BA258" s="203"/>
      <c r="BB258" s="203"/>
      <c r="BC258" s="203"/>
      <c r="BD258" s="203"/>
      <c r="BE258" s="203"/>
      <c r="BF258" s="203"/>
      <c r="BG258" s="203"/>
      <c r="BH258" s="203"/>
      <c r="BI258" s="203"/>
      <c r="BJ258" s="203"/>
      <c r="BK258" s="203"/>
      <c r="BL258" s="203"/>
      <c r="BM258" s="202"/>
      <c r="BN258" s="202"/>
      <c r="BO258" s="202"/>
      <c r="BP258" s="202"/>
      <c r="BQ258" s="202"/>
      <c r="BR258" s="202"/>
      <c r="BS258" s="202"/>
      <c r="BT258" s="202"/>
      <c r="BU258" s="201"/>
      <c r="BV258" s="201"/>
      <c r="BW258" s="188"/>
      <c r="BX258" s="188"/>
    </row>
    <row r="259" spans="1:76" ht="17.25" customHeight="1" x14ac:dyDescent="0.25">
      <c r="A259" s="200"/>
      <c r="B259" s="191"/>
      <c r="C259" s="199" t="s">
        <v>6</v>
      </c>
      <c r="D259" s="199" t="s">
        <v>26</v>
      </c>
      <c r="E259" s="198"/>
      <c r="F259" s="198">
        <f>E259*1.12</f>
        <v>0</v>
      </c>
      <c r="G259" s="197"/>
      <c r="H259" s="196"/>
      <c r="I259" s="195"/>
      <c r="J259" s="195">
        <f>I259*1.12</f>
        <v>0</v>
      </c>
      <c r="K259" s="252"/>
      <c r="L259" s="251"/>
      <c r="M259" s="193"/>
      <c r="N259" s="50">
        <f>P259</f>
        <v>18961640</v>
      </c>
      <c r="O259" s="50">
        <f>Q259</f>
        <v>21237036.800000001</v>
      </c>
      <c r="P259" s="51">
        <f>Q259/1.12</f>
        <v>18961640</v>
      </c>
      <c r="Q259" s="192">
        <f>Q258</f>
        <v>21237036.800000001</v>
      </c>
      <c r="R259" s="191"/>
      <c r="S259" s="190"/>
      <c r="T259" s="66"/>
      <c r="U259" s="66"/>
      <c r="V259" s="66"/>
      <c r="W259" s="66"/>
      <c r="X259" s="66"/>
      <c r="Y259" s="66"/>
      <c r="Z259" s="66"/>
      <c r="AA259" s="66"/>
      <c r="AB259" s="66"/>
      <c r="AC259" s="250">
        <f>AC260</f>
        <v>17465.191678571427</v>
      </c>
      <c r="AD259" s="247">
        <f>AC259*1.12</f>
        <v>19561.01468</v>
      </c>
      <c r="AE259" s="66"/>
      <c r="AF259" s="66">
        <f>AC259+Z259+W259+T259</f>
        <v>17465.191678571427</v>
      </c>
      <c r="AG259" s="66">
        <f>AD259+AA259+X259+U259</f>
        <v>19561.01468</v>
      </c>
      <c r="AH259" s="66"/>
      <c r="AI259" s="66"/>
      <c r="AJ259" s="66"/>
      <c r="AK259" s="66"/>
      <c r="AL259" s="117">
        <f>AL260</f>
        <v>0</v>
      </c>
      <c r="AM259" s="64">
        <f>AL259*1.12</f>
        <v>0</v>
      </c>
      <c r="AN259" s="66"/>
      <c r="AO259" s="64">
        <f>AL259-AI259</f>
        <v>0</v>
      </c>
      <c r="AP259" s="64">
        <f>AM259-AJ259</f>
        <v>0</v>
      </c>
      <c r="AQ259" s="62"/>
      <c r="AR259" s="189" t="str">
        <f>IF(AI259=0,"",AL259/AI259)</f>
        <v/>
      </c>
      <c r="AS259" s="63"/>
      <c r="AT259" s="63">
        <f>AL259</f>
        <v>0</v>
      </c>
      <c r="AU259" s="63"/>
      <c r="AV259" s="64">
        <f>AL259</f>
        <v>0</v>
      </c>
      <c r="AW259" s="64">
        <f>AV259*1.12</f>
        <v>0</v>
      </c>
      <c r="AX259" s="62"/>
      <c r="AY259" s="62"/>
      <c r="AZ259" s="62"/>
      <c r="BA259" s="62"/>
      <c r="BB259" s="62"/>
      <c r="BC259" s="62"/>
      <c r="BD259" s="62"/>
      <c r="BE259" s="62"/>
      <c r="BF259" s="62"/>
      <c r="BG259" s="62"/>
      <c r="BH259" s="62"/>
      <c r="BI259" s="62"/>
      <c r="BJ259" s="62"/>
      <c r="BK259" s="62"/>
      <c r="BL259" s="62"/>
      <c r="BM259" s="59"/>
      <c r="BN259" s="59"/>
      <c r="BO259" s="59"/>
      <c r="BP259" s="59"/>
      <c r="BQ259" s="59"/>
      <c r="BR259" s="59"/>
      <c r="BS259" s="59"/>
      <c r="BT259" s="59"/>
      <c r="BU259" s="57"/>
      <c r="BV259" s="57"/>
      <c r="BW259" s="188"/>
      <c r="BX259" s="188"/>
    </row>
    <row r="260" spans="1:76" ht="17.25" customHeight="1" x14ac:dyDescent="0.25">
      <c r="A260" s="200"/>
      <c r="B260" s="191"/>
      <c r="C260" s="187" t="s">
        <v>6</v>
      </c>
      <c r="D260" s="187" t="s">
        <v>5</v>
      </c>
      <c r="E260" s="186"/>
      <c r="F260" s="186">
        <f>E260*1.12</f>
        <v>0</v>
      </c>
      <c r="G260" s="197"/>
      <c r="H260" s="196"/>
      <c r="I260" s="183"/>
      <c r="J260" s="183">
        <f>I260*1.12</f>
        <v>0</v>
      </c>
      <c r="K260" s="249"/>
      <c r="L260" s="248"/>
      <c r="M260" s="181"/>
      <c r="N260" s="50">
        <f>P260</f>
        <v>18961640</v>
      </c>
      <c r="O260" s="50">
        <f>Q260</f>
        <v>21237036.800000001</v>
      </c>
      <c r="P260" s="50">
        <f>Q260/1.12</f>
        <v>18961640</v>
      </c>
      <c r="Q260" s="180">
        <f>Q259</f>
        <v>21237036.800000001</v>
      </c>
      <c r="R260" s="56"/>
      <c r="S260" s="179"/>
      <c r="T260" s="46"/>
      <c r="U260" s="46"/>
      <c r="V260" s="46"/>
      <c r="W260" s="46"/>
      <c r="X260" s="46"/>
      <c r="Y260" s="46"/>
      <c r="Z260" s="46"/>
      <c r="AA260" s="46"/>
      <c r="AB260" s="46"/>
      <c r="AC260" s="46">
        <f>19561.01468/1.12</f>
        <v>17465.191678571427</v>
      </c>
      <c r="AD260" s="47">
        <f>AC260*1.12</f>
        <v>19561.01468</v>
      </c>
      <c r="AE260" s="46"/>
      <c r="AF260" s="46">
        <f>AC260+Z260+W260+T260</f>
        <v>17465.191678571427</v>
      </c>
      <c r="AG260" s="46">
        <f>AD260+AA260+X260+U260</f>
        <v>19561.01468</v>
      </c>
      <c r="AH260" s="46"/>
      <c r="AI260" s="46"/>
      <c r="AJ260" s="46"/>
      <c r="AK260" s="46"/>
      <c r="AL260" s="46"/>
      <c r="AM260" s="41">
        <f>AL260*1.12</f>
        <v>0</v>
      </c>
      <c r="AN260" s="46"/>
      <c r="AO260" s="44">
        <f>AO259</f>
        <v>0</v>
      </c>
      <c r="AP260" s="44">
        <f>AP259</f>
        <v>0</v>
      </c>
      <c r="AQ260" s="41"/>
      <c r="AR260" s="178" t="str">
        <f>IF(AI260=0,"",AL260/AI260)</f>
        <v/>
      </c>
      <c r="AS260" s="42"/>
      <c r="AT260" s="42">
        <f>AL260</f>
        <v>0</v>
      </c>
      <c r="AU260" s="42"/>
      <c r="AV260" s="44">
        <f>AV259</f>
        <v>0</v>
      </c>
      <c r="AW260" s="44">
        <f>AV260*1.12</f>
        <v>0</v>
      </c>
      <c r="AX260" s="41"/>
      <c r="AY260" s="41"/>
      <c r="AZ260" s="41"/>
      <c r="BA260" s="41"/>
      <c r="BB260" s="41"/>
      <c r="BC260" s="41"/>
      <c r="BD260" s="41"/>
      <c r="BE260" s="41"/>
      <c r="BF260" s="62"/>
      <c r="BG260" s="41"/>
      <c r="BH260" s="41"/>
      <c r="BI260" s="41"/>
      <c r="BJ260" s="41"/>
      <c r="BK260" s="41"/>
      <c r="BL260" s="41"/>
      <c r="BM260" s="39"/>
      <c r="BN260" s="39"/>
      <c r="BO260" s="39"/>
      <c r="BP260" s="39"/>
      <c r="BQ260" s="39"/>
      <c r="BR260" s="39"/>
      <c r="BS260" s="39"/>
      <c r="BT260" s="39"/>
      <c r="BW260" s="188"/>
      <c r="BX260" s="188"/>
    </row>
    <row r="261" spans="1:76" ht="17.25" customHeight="1" x14ac:dyDescent="0.25">
      <c r="A261" s="200"/>
      <c r="B261" s="191"/>
      <c r="C261" s="214" t="s">
        <v>9</v>
      </c>
      <c r="D261" s="214" t="s">
        <v>8</v>
      </c>
      <c r="E261" s="213"/>
      <c r="F261" s="213">
        <f>E261*1.12</f>
        <v>0</v>
      </c>
      <c r="G261" s="197"/>
      <c r="H261" s="196"/>
      <c r="I261" s="212"/>
      <c r="J261" s="212">
        <f>I261*1.12</f>
        <v>0</v>
      </c>
      <c r="K261" s="254" t="s">
        <v>50</v>
      </c>
      <c r="L261" s="253" t="s">
        <v>69</v>
      </c>
      <c r="M261" s="211" t="s">
        <v>13</v>
      </c>
      <c r="N261" s="210">
        <f>P261</f>
        <v>18961640</v>
      </c>
      <c r="O261" s="210">
        <f>Q261</f>
        <v>21237036.800000001</v>
      </c>
      <c r="P261" s="210">
        <f>Q261/1.12</f>
        <v>18961640</v>
      </c>
      <c r="Q261" s="209">
        <v>21237036.800000001</v>
      </c>
      <c r="R261" s="73" t="s">
        <v>53</v>
      </c>
      <c r="S261" s="208">
        <v>8</v>
      </c>
      <c r="T261" s="206"/>
      <c r="U261" s="206"/>
      <c r="V261" s="206"/>
      <c r="W261" s="206"/>
      <c r="X261" s="206"/>
      <c r="Y261" s="206"/>
      <c r="Z261" s="206"/>
      <c r="AA261" s="206"/>
      <c r="AB261" s="206"/>
      <c r="AC261" s="206">
        <f>19135+7447</f>
        <v>26582</v>
      </c>
      <c r="AD261" s="207">
        <f>AC261*1.12</f>
        <v>29771.840000000004</v>
      </c>
      <c r="AE261" s="206">
        <v>8</v>
      </c>
      <c r="AF261" s="206">
        <f>Z261+AC261+W261+T261</f>
        <v>26582</v>
      </c>
      <c r="AG261" s="206">
        <f>AA261+AD261+X261+U261</f>
        <v>29771.840000000004</v>
      </c>
      <c r="AH261" s="206">
        <f>AB261+AE261+Y261+V261</f>
        <v>8</v>
      </c>
      <c r="AI261" s="206"/>
      <c r="AJ261" s="206"/>
      <c r="AK261" s="206"/>
      <c r="AL261" s="206"/>
      <c r="AM261" s="203">
        <f>AL261*1.12</f>
        <v>0</v>
      </c>
      <c r="AN261" s="206"/>
      <c r="AO261" s="203"/>
      <c r="AP261" s="203"/>
      <c r="AQ261" s="203"/>
      <c r="AR261" s="205" t="str">
        <f>IF(AI261=0,"",AL261/AI261)</f>
        <v/>
      </c>
      <c r="AS261" s="204"/>
      <c r="AT261" s="204"/>
      <c r="AU261" s="204"/>
      <c r="AV261" s="203">
        <f>AL261</f>
        <v>0</v>
      </c>
      <c r="AW261" s="203">
        <f>AV261*1.12</f>
        <v>0</v>
      </c>
      <c r="AX261" s="203"/>
      <c r="AY261" s="203"/>
      <c r="AZ261" s="203"/>
      <c r="BA261" s="203"/>
      <c r="BB261" s="203"/>
      <c r="BC261" s="203"/>
      <c r="BD261" s="203"/>
      <c r="BE261" s="203"/>
      <c r="BF261" s="203"/>
      <c r="BG261" s="203"/>
      <c r="BH261" s="203"/>
      <c r="BI261" s="203"/>
      <c r="BJ261" s="203"/>
      <c r="BK261" s="203"/>
      <c r="BL261" s="203"/>
      <c r="BM261" s="202"/>
      <c r="BN261" s="202"/>
      <c r="BO261" s="202"/>
      <c r="BP261" s="202"/>
      <c r="BQ261" s="202"/>
      <c r="BR261" s="202"/>
      <c r="BS261" s="202"/>
      <c r="BT261" s="202"/>
      <c r="BU261" s="201"/>
      <c r="BV261" s="201"/>
      <c r="BW261" s="188"/>
      <c r="BX261" s="188"/>
    </row>
    <row r="262" spans="1:76" ht="17.25" customHeight="1" x14ac:dyDescent="0.25">
      <c r="A262" s="200"/>
      <c r="B262" s="191"/>
      <c r="C262" s="199" t="s">
        <v>6</v>
      </c>
      <c r="D262" s="199" t="s">
        <v>26</v>
      </c>
      <c r="E262" s="198"/>
      <c r="F262" s="198">
        <f>E262*1.12</f>
        <v>0</v>
      </c>
      <c r="G262" s="197"/>
      <c r="H262" s="196"/>
      <c r="I262" s="195"/>
      <c r="J262" s="195">
        <f>I262*1.12</f>
        <v>0</v>
      </c>
      <c r="K262" s="252"/>
      <c r="L262" s="251"/>
      <c r="M262" s="193"/>
      <c r="N262" s="50">
        <f>P262</f>
        <v>18961640</v>
      </c>
      <c r="O262" s="50">
        <f>Q262</f>
        <v>21237036.800000001</v>
      </c>
      <c r="P262" s="51">
        <f>Q262/1.12</f>
        <v>18961640</v>
      </c>
      <c r="Q262" s="192">
        <f>Q261</f>
        <v>21237036.800000001</v>
      </c>
      <c r="R262" s="191"/>
      <c r="S262" s="190"/>
      <c r="T262" s="66"/>
      <c r="U262" s="66"/>
      <c r="V262" s="66"/>
      <c r="W262" s="66"/>
      <c r="X262" s="66"/>
      <c r="Y262" s="66"/>
      <c r="Z262" s="66"/>
      <c r="AA262" s="66"/>
      <c r="AB262" s="66"/>
      <c r="AC262" s="250">
        <f>AC263</f>
        <v>18828.719999999998</v>
      </c>
      <c r="AD262" s="247">
        <f>AC262*1.12</f>
        <v>21088.166399999998</v>
      </c>
      <c r="AE262" s="66"/>
      <c r="AF262" s="66">
        <f>AC262+Z262+W262+T262</f>
        <v>18828.719999999998</v>
      </c>
      <c r="AG262" s="66">
        <f>AD262+AA262+X262+U262</f>
        <v>21088.166399999998</v>
      </c>
      <c r="AH262" s="66"/>
      <c r="AI262" s="66"/>
      <c r="AJ262" s="66"/>
      <c r="AK262" s="66"/>
      <c r="AL262" s="117">
        <f>AL263</f>
        <v>0</v>
      </c>
      <c r="AM262" s="64">
        <f>AL262*1.12</f>
        <v>0</v>
      </c>
      <c r="AN262" s="66"/>
      <c r="AO262" s="64">
        <f>AL262-AI262</f>
        <v>0</v>
      </c>
      <c r="AP262" s="64">
        <f>AM262-AJ262</f>
        <v>0</v>
      </c>
      <c r="AQ262" s="62"/>
      <c r="AR262" s="189" t="str">
        <f>IF(AI262=0,"",AL262/AI262)</f>
        <v/>
      </c>
      <c r="AS262" s="63"/>
      <c r="AT262" s="63">
        <f>AL262</f>
        <v>0</v>
      </c>
      <c r="AU262" s="63"/>
      <c r="AV262" s="64">
        <f>AL262</f>
        <v>0</v>
      </c>
      <c r="AW262" s="64">
        <f>AV262*1.12</f>
        <v>0</v>
      </c>
      <c r="AX262" s="62"/>
      <c r="AY262" s="62"/>
      <c r="AZ262" s="62"/>
      <c r="BA262" s="62"/>
      <c r="BB262" s="62"/>
      <c r="BC262" s="62"/>
      <c r="BD262" s="62"/>
      <c r="BE262" s="62"/>
      <c r="BF262" s="62"/>
      <c r="BG262" s="62"/>
      <c r="BH262" s="62"/>
      <c r="BI262" s="62"/>
      <c r="BJ262" s="62"/>
      <c r="BK262" s="62"/>
      <c r="BL262" s="62"/>
      <c r="BM262" s="59"/>
      <c r="BN262" s="59"/>
      <c r="BO262" s="59"/>
      <c r="BP262" s="59"/>
      <c r="BQ262" s="59"/>
      <c r="BR262" s="59"/>
      <c r="BS262" s="59"/>
      <c r="BT262" s="59"/>
      <c r="BU262" s="57"/>
      <c r="BV262" s="57"/>
      <c r="BW262" s="188"/>
      <c r="BX262" s="188"/>
    </row>
    <row r="263" spans="1:76" ht="17.25" customHeight="1" x14ac:dyDescent="0.25">
      <c r="A263" s="200"/>
      <c r="B263" s="191"/>
      <c r="C263" s="187" t="s">
        <v>6</v>
      </c>
      <c r="D263" s="187" t="s">
        <v>5</v>
      </c>
      <c r="E263" s="186"/>
      <c r="F263" s="186">
        <f>E263*1.12</f>
        <v>0</v>
      </c>
      <c r="G263" s="197"/>
      <c r="H263" s="196"/>
      <c r="I263" s="183"/>
      <c r="J263" s="183">
        <f>I263*1.12</f>
        <v>0</v>
      </c>
      <c r="K263" s="249"/>
      <c r="L263" s="248"/>
      <c r="M263" s="181"/>
      <c r="N263" s="50">
        <f>P263</f>
        <v>18961640</v>
      </c>
      <c r="O263" s="50">
        <f>Q263</f>
        <v>21237036.800000001</v>
      </c>
      <c r="P263" s="50">
        <f>Q263/1.12</f>
        <v>18961640</v>
      </c>
      <c r="Q263" s="180">
        <f>Q262</f>
        <v>21237036.800000001</v>
      </c>
      <c r="R263" s="56"/>
      <c r="S263" s="179"/>
      <c r="T263" s="46"/>
      <c r="U263" s="46"/>
      <c r="V263" s="46"/>
      <c r="W263" s="46"/>
      <c r="X263" s="46"/>
      <c r="Y263" s="46"/>
      <c r="Z263" s="46"/>
      <c r="AA263" s="46"/>
      <c r="AB263" s="46"/>
      <c r="AC263" s="46">
        <f>21088.1664/1.12</f>
        <v>18828.719999999998</v>
      </c>
      <c r="AD263" s="47">
        <f>AC263*1.12</f>
        <v>21088.166399999998</v>
      </c>
      <c r="AE263" s="46"/>
      <c r="AF263" s="46">
        <f>AC263+Z263+W263+T263</f>
        <v>18828.719999999998</v>
      </c>
      <c r="AG263" s="46">
        <f>AD263+AA263+X263+U263</f>
        <v>21088.166399999998</v>
      </c>
      <c r="AH263" s="46"/>
      <c r="AI263" s="46"/>
      <c r="AJ263" s="46"/>
      <c r="AK263" s="46"/>
      <c r="AL263" s="46"/>
      <c r="AM263" s="41">
        <f>AL263*1.12</f>
        <v>0</v>
      </c>
      <c r="AN263" s="46"/>
      <c r="AO263" s="44">
        <f>AO262</f>
        <v>0</v>
      </c>
      <c r="AP263" s="44">
        <f>AP262</f>
        <v>0</v>
      </c>
      <c r="AQ263" s="41"/>
      <c r="AR263" s="178" t="str">
        <f>IF(AI263=0,"",AL263/AI263)</f>
        <v/>
      </c>
      <c r="AS263" s="42"/>
      <c r="AT263" s="42">
        <f>AL263</f>
        <v>0</v>
      </c>
      <c r="AU263" s="42"/>
      <c r="AV263" s="44">
        <f>AV262</f>
        <v>0</v>
      </c>
      <c r="AW263" s="44">
        <f>AV263*1.12</f>
        <v>0</v>
      </c>
      <c r="AX263" s="41"/>
      <c r="AY263" s="41"/>
      <c r="AZ263" s="41"/>
      <c r="BA263" s="41"/>
      <c r="BB263" s="41"/>
      <c r="BC263" s="41"/>
      <c r="BD263" s="41"/>
      <c r="BE263" s="41"/>
      <c r="BF263" s="62"/>
      <c r="BG263" s="41"/>
      <c r="BH263" s="41"/>
      <c r="BI263" s="41"/>
      <c r="BJ263" s="41"/>
      <c r="BK263" s="41"/>
      <c r="BL263" s="41"/>
      <c r="BM263" s="39"/>
      <c r="BN263" s="39"/>
      <c r="BO263" s="39"/>
      <c r="BP263" s="39"/>
      <c r="BQ263" s="39"/>
      <c r="BR263" s="39"/>
      <c r="BS263" s="39"/>
      <c r="BT263" s="39"/>
      <c r="BW263" s="188"/>
      <c r="BX263" s="188"/>
    </row>
    <row r="264" spans="1:76" ht="17.25" customHeight="1" x14ac:dyDescent="0.25">
      <c r="A264" s="200"/>
      <c r="B264" s="191"/>
      <c r="C264" s="214" t="s">
        <v>9</v>
      </c>
      <c r="D264" s="214" t="s">
        <v>8</v>
      </c>
      <c r="E264" s="213"/>
      <c r="F264" s="213">
        <f>E264*1.12</f>
        <v>0</v>
      </c>
      <c r="G264" s="197"/>
      <c r="H264" s="196"/>
      <c r="I264" s="212"/>
      <c r="J264" s="212">
        <f>I264*1.12</f>
        <v>0</v>
      </c>
      <c r="K264" s="254" t="s">
        <v>47</v>
      </c>
      <c r="L264" s="254" t="s">
        <v>68</v>
      </c>
      <c r="M264" s="211" t="s">
        <v>13</v>
      </c>
      <c r="N264" s="210">
        <f>P264</f>
        <v>18961640</v>
      </c>
      <c r="O264" s="210">
        <f>Q264</f>
        <v>21237036.800000001</v>
      </c>
      <c r="P264" s="210">
        <f>Q264/1.12</f>
        <v>18961640</v>
      </c>
      <c r="Q264" s="209">
        <v>21237036.800000001</v>
      </c>
      <c r="R264" s="73" t="s">
        <v>53</v>
      </c>
      <c r="S264" s="208">
        <v>8</v>
      </c>
      <c r="T264" s="206"/>
      <c r="U264" s="206"/>
      <c r="V264" s="206"/>
      <c r="W264" s="206"/>
      <c r="X264" s="206"/>
      <c r="Y264" s="206"/>
      <c r="Z264" s="206"/>
      <c r="AA264" s="206"/>
      <c r="AB264" s="206"/>
      <c r="AC264" s="206">
        <f>19135+8968</f>
        <v>28103</v>
      </c>
      <c r="AD264" s="207">
        <f>AC264*1.12</f>
        <v>31475.360000000004</v>
      </c>
      <c r="AE264" s="206">
        <v>8</v>
      </c>
      <c r="AF264" s="206">
        <f>Z264+AC264+W264+T264</f>
        <v>28103</v>
      </c>
      <c r="AG264" s="206">
        <f>AA264+AD264+X264+U264</f>
        <v>31475.360000000004</v>
      </c>
      <c r="AH264" s="206">
        <f>AB264+AE264+Y264+V264</f>
        <v>8</v>
      </c>
      <c r="AI264" s="206"/>
      <c r="AJ264" s="206"/>
      <c r="AK264" s="206"/>
      <c r="AL264" s="206"/>
      <c r="AM264" s="203">
        <f>AL264*1.12</f>
        <v>0</v>
      </c>
      <c r="AN264" s="206"/>
      <c r="AO264" s="203"/>
      <c r="AP264" s="203"/>
      <c r="AQ264" s="203"/>
      <c r="AR264" s="205" t="str">
        <f>IF(AI264=0,"",AL264/AI264)</f>
        <v/>
      </c>
      <c r="AS264" s="204"/>
      <c r="AT264" s="204"/>
      <c r="AU264" s="204"/>
      <c r="AV264" s="203">
        <f>AL264</f>
        <v>0</v>
      </c>
      <c r="AW264" s="203">
        <f>AV264*1.12</f>
        <v>0</v>
      </c>
      <c r="AX264" s="203"/>
      <c r="AY264" s="203"/>
      <c r="AZ264" s="203"/>
      <c r="BA264" s="203"/>
      <c r="BB264" s="203"/>
      <c r="BC264" s="203"/>
      <c r="BD264" s="203"/>
      <c r="BE264" s="203"/>
      <c r="BF264" s="203"/>
      <c r="BG264" s="203"/>
      <c r="BH264" s="203"/>
      <c r="BI264" s="203"/>
      <c r="BJ264" s="203"/>
      <c r="BK264" s="203"/>
      <c r="BL264" s="203"/>
      <c r="BM264" s="202"/>
      <c r="BN264" s="202"/>
      <c r="BO264" s="202"/>
      <c r="BP264" s="202"/>
      <c r="BQ264" s="202"/>
      <c r="BR264" s="202"/>
      <c r="BS264" s="202"/>
      <c r="BT264" s="202"/>
      <c r="BU264" s="201"/>
      <c r="BV264" s="201"/>
      <c r="BW264" s="188"/>
      <c r="BX264" s="188"/>
    </row>
    <row r="265" spans="1:76" ht="17.25" customHeight="1" x14ac:dyDescent="0.25">
      <c r="A265" s="200"/>
      <c r="B265" s="191"/>
      <c r="C265" s="199" t="s">
        <v>6</v>
      </c>
      <c r="D265" s="199" t="s">
        <v>26</v>
      </c>
      <c r="E265" s="198"/>
      <c r="F265" s="198">
        <f>E265*1.12</f>
        <v>0</v>
      </c>
      <c r="G265" s="197"/>
      <c r="H265" s="196"/>
      <c r="I265" s="195"/>
      <c r="J265" s="195">
        <f>I265*1.12</f>
        <v>0</v>
      </c>
      <c r="K265" s="252"/>
      <c r="L265" s="252"/>
      <c r="M265" s="193"/>
      <c r="N265" s="50">
        <f>P265</f>
        <v>18961640</v>
      </c>
      <c r="O265" s="50">
        <f>Q265</f>
        <v>21237036.800000001</v>
      </c>
      <c r="P265" s="51">
        <f>Q265/1.12</f>
        <v>18961640</v>
      </c>
      <c r="Q265" s="192">
        <f>Q264</f>
        <v>21237036.800000001</v>
      </c>
      <c r="R265" s="191"/>
      <c r="S265" s="190"/>
      <c r="T265" s="66"/>
      <c r="U265" s="66"/>
      <c r="V265" s="66"/>
      <c r="W265" s="66"/>
      <c r="X265" s="66"/>
      <c r="Y265" s="66"/>
      <c r="Z265" s="66"/>
      <c r="AA265" s="66"/>
      <c r="AB265" s="66"/>
      <c r="AC265" s="250">
        <f>AC266</f>
        <v>17949.791276785712</v>
      </c>
      <c r="AD265" s="247">
        <f>AC265*1.12</f>
        <v>20103.766230000001</v>
      </c>
      <c r="AE265" s="66"/>
      <c r="AF265" s="66">
        <f>AC265+Z265+W265+T265</f>
        <v>17949.791276785712</v>
      </c>
      <c r="AG265" s="66">
        <f>AD265+AA265+X265+U265</f>
        <v>20103.766230000001</v>
      </c>
      <c r="AH265" s="66"/>
      <c r="AI265" s="66"/>
      <c r="AJ265" s="66"/>
      <c r="AK265" s="66"/>
      <c r="AL265" s="117">
        <f>AL266</f>
        <v>0</v>
      </c>
      <c r="AM265" s="64">
        <f>AL265*1.12</f>
        <v>0</v>
      </c>
      <c r="AN265" s="66"/>
      <c r="AO265" s="64">
        <f>AL265-AI265</f>
        <v>0</v>
      </c>
      <c r="AP265" s="64">
        <f>AM265-AJ265</f>
        <v>0</v>
      </c>
      <c r="AQ265" s="62"/>
      <c r="AR265" s="189" t="str">
        <f>IF(AI265=0,"",AL265/AI265)</f>
        <v/>
      </c>
      <c r="AS265" s="63"/>
      <c r="AT265" s="63">
        <f>AL265</f>
        <v>0</v>
      </c>
      <c r="AU265" s="63"/>
      <c r="AV265" s="64">
        <f>AL265</f>
        <v>0</v>
      </c>
      <c r="AW265" s="64">
        <f>AV265*1.12</f>
        <v>0</v>
      </c>
      <c r="AX265" s="62"/>
      <c r="AY265" s="62"/>
      <c r="AZ265" s="62"/>
      <c r="BA265" s="62"/>
      <c r="BB265" s="62"/>
      <c r="BC265" s="62"/>
      <c r="BD265" s="62"/>
      <c r="BE265" s="62"/>
      <c r="BF265" s="62"/>
      <c r="BG265" s="62"/>
      <c r="BH265" s="62"/>
      <c r="BI265" s="62"/>
      <c r="BJ265" s="62"/>
      <c r="BK265" s="62"/>
      <c r="BL265" s="62"/>
      <c r="BM265" s="59"/>
      <c r="BN265" s="59"/>
      <c r="BO265" s="59"/>
      <c r="BP265" s="59"/>
      <c r="BQ265" s="59"/>
      <c r="BR265" s="59"/>
      <c r="BS265" s="59"/>
      <c r="BT265" s="59"/>
      <c r="BU265" s="57"/>
      <c r="BV265" s="57"/>
      <c r="BW265" s="188"/>
      <c r="BX265" s="188"/>
    </row>
    <row r="266" spans="1:76" ht="17.25" customHeight="1" x14ac:dyDescent="0.25">
      <c r="A266" s="200"/>
      <c r="B266" s="191"/>
      <c r="C266" s="187" t="s">
        <v>6</v>
      </c>
      <c r="D266" s="187" t="s">
        <v>5</v>
      </c>
      <c r="E266" s="186"/>
      <c r="F266" s="186">
        <f>E266*1.12</f>
        <v>0</v>
      </c>
      <c r="G266" s="197"/>
      <c r="H266" s="196"/>
      <c r="I266" s="183"/>
      <c r="J266" s="183">
        <f>I266*1.12</f>
        <v>0</v>
      </c>
      <c r="K266" s="249"/>
      <c r="L266" s="249"/>
      <c r="M266" s="181"/>
      <c r="N266" s="50">
        <f>P266</f>
        <v>18961640</v>
      </c>
      <c r="O266" s="50">
        <f>Q266</f>
        <v>21237036.800000001</v>
      </c>
      <c r="P266" s="50">
        <f>Q266/1.12</f>
        <v>18961640</v>
      </c>
      <c r="Q266" s="180">
        <f>Q265</f>
        <v>21237036.800000001</v>
      </c>
      <c r="R266" s="56"/>
      <c r="S266" s="179"/>
      <c r="T266" s="46"/>
      <c r="U266" s="46"/>
      <c r="V266" s="46"/>
      <c r="W266" s="46"/>
      <c r="X266" s="46"/>
      <c r="Y266" s="46"/>
      <c r="Z266" s="46"/>
      <c r="AA266" s="46"/>
      <c r="AB266" s="46"/>
      <c r="AC266" s="46">
        <f>20103.76623/1.12</f>
        <v>17949.791276785712</v>
      </c>
      <c r="AD266" s="47">
        <f>AC266*1.12</f>
        <v>20103.766230000001</v>
      </c>
      <c r="AE266" s="46"/>
      <c r="AF266" s="46">
        <f>AC266+Z266+W266+T266</f>
        <v>17949.791276785712</v>
      </c>
      <c r="AG266" s="46">
        <f>AD266+AA266+X266+U266</f>
        <v>20103.766230000001</v>
      </c>
      <c r="AH266" s="46"/>
      <c r="AI266" s="46"/>
      <c r="AJ266" s="46"/>
      <c r="AK266" s="46"/>
      <c r="AL266" s="46"/>
      <c r="AM266" s="41">
        <f>AL266*1.12</f>
        <v>0</v>
      </c>
      <c r="AN266" s="46"/>
      <c r="AO266" s="44">
        <f>AO265</f>
        <v>0</v>
      </c>
      <c r="AP266" s="44">
        <f>AP265</f>
        <v>0</v>
      </c>
      <c r="AQ266" s="41"/>
      <c r="AR266" s="178" t="str">
        <f>IF(AI266=0,"",AL266/AI266)</f>
        <v/>
      </c>
      <c r="AS266" s="42"/>
      <c r="AT266" s="42">
        <f>AL266</f>
        <v>0</v>
      </c>
      <c r="AU266" s="42"/>
      <c r="AV266" s="44">
        <f>AV265</f>
        <v>0</v>
      </c>
      <c r="AW266" s="44">
        <f>AV266*1.12</f>
        <v>0</v>
      </c>
      <c r="AX266" s="41"/>
      <c r="AY266" s="41"/>
      <c r="AZ266" s="41"/>
      <c r="BA266" s="41"/>
      <c r="BB266" s="41"/>
      <c r="BC266" s="41"/>
      <c r="BD266" s="41"/>
      <c r="BE266" s="41"/>
      <c r="BF266" s="62"/>
      <c r="BG266" s="41"/>
      <c r="BH266" s="41"/>
      <c r="BI266" s="41"/>
      <c r="BJ266" s="41"/>
      <c r="BK266" s="41"/>
      <c r="BL266" s="41"/>
      <c r="BM266" s="39"/>
      <c r="BN266" s="39"/>
      <c r="BO266" s="39"/>
      <c r="BP266" s="39"/>
      <c r="BQ266" s="39"/>
      <c r="BR266" s="39"/>
      <c r="BS266" s="39"/>
      <c r="BT266" s="39"/>
      <c r="BW266" s="188"/>
      <c r="BX266" s="188"/>
    </row>
    <row r="267" spans="1:76" ht="17.25" customHeight="1" x14ac:dyDescent="0.25">
      <c r="A267" s="200"/>
      <c r="B267" s="191"/>
      <c r="C267" s="214" t="s">
        <v>9</v>
      </c>
      <c r="D267" s="214" t="s">
        <v>8</v>
      </c>
      <c r="E267" s="213"/>
      <c r="F267" s="213">
        <f>E267*1.12</f>
        <v>0</v>
      </c>
      <c r="G267" s="197"/>
      <c r="H267" s="196"/>
      <c r="I267" s="212"/>
      <c r="J267" s="212">
        <f>I267*1.12</f>
        <v>0</v>
      </c>
      <c r="K267" s="254" t="s">
        <v>58</v>
      </c>
      <c r="L267" s="253" t="s">
        <v>67</v>
      </c>
      <c r="M267" s="211" t="s">
        <v>13</v>
      </c>
      <c r="N267" s="210">
        <f>P267</f>
        <v>97178404.999999985</v>
      </c>
      <c r="O267" s="210">
        <f>Q267</f>
        <v>108839813.59999999</v>
      </c>
      <c r="P267" s="210">
        <f>Q267/1.12</f>
        <v>97178404.999999985</v>
      </c>
      <c r="Q267" s="209">
        <v>108839813.59999999</v>
      </c>
      <c r="R267" s="73" t="s">
        <v>53</v>
      </c>
      <c r="S267" s="208">
        <v>41</v>
      </c>
      <c r="T267" s="206"/>
      <c r="U267" s="206"/>
      <c r="V267" s="206"/>
      <c r="W267" s="206"/>
      <c r="X267" s="206"/>
      <c r="Y267" s="206"/>
      <c r="Z267" s="206"/>
      <c r="AA267" s="206"/>
      <c r="AB267" s="206"/>
      <c r="AC267" s="206">
        <f>98677+29765</f>
        <v>128442</v>
      </c>
      <c r="AD267" s="207">
        <f>AC267*1.12</f>
        <v>143855.04000000001</v>
      </c>
      <c r="AE267" s="206">
        <v>41</v>
      </c>
      <c r="AF267" s="206">
        <f>Z267+AC267+W267+T267</f>
        <v>128442</v>
      </c>
      <c r="AG267" s="206">
        <f>AA267+AD267+X267+U267</f>
        <v>143855.04000000001</v>
      </c>
      <c r="AH267" s="206">
        <f>AB267+AE267+Y267+V267</f>
        <v>41</v>
      </c>
      <c r="AI267" s="206"/>
      <c r="AJ267" s="206"/>
      <c r="AK267" s="206"/>
      <c r="AL267" s="206"/>
      <c r="AM267" s="203">
        <f>AL267*1.12</f>
        <v>0</v>
      </c>
      <c r="AN267" s="206"/>
      <c r="AO267" s="203"/>
      <c r="AP267" s="203"/>
      <c r="AQ267" s="203"/>
      <c r="AR267" s="205" t="str">
        <f>IF(AI267=0,"",AL267/AI267)</f>
        <v/>
      </c>
      <c r="AS267" s="204"/>
      <c r="AT267" s="204"/>
      <c r="AU267" s="204"/>
      <c r="AV267" s="203">
        <f>AL267</f>
        <v>0</v>
      </c>
      <c r="AW267" s="203">
        <f>AV267*1.12</f>
        <v>0</v>
      </c>
      <c r="AX267" s="203"/>
      <c r="AY267" s="203"/>
      <c r="AZ267" s="203"/>
      <c r="BA267" s="203"/>
      <c r="BB267" s="203"/>
      <c r="BC267" s="203"/>
      <c r="BD267" s="203"/>
      <c r="BE267" s="203"/>
      <c r="BF267" s="203"/>
      <c r="BG267" s="203"/>
      <c r="BH267" s="203"/>
      <c r="BI267" s="203"/>
      <c r="BJ267" s="203"/>
      <c r="BK267" s="203"/>
      <c r="BL267" s="203"/>
      <c r="BM267" s="202"/>
      <c r="BN267" s="202"/>
      <c r="BO267" s="202"/>
      <c r="BP267" s="202"/>
      <c r="BQ267" s="202"/>
      <c r="BR267" s="202"/>
      <c r="BS267" s="202"/>
      <c r="BT267" s="202"/>
      <c r="BU267" s="201"/>
      <c r="BV267" s="201"/>
      <c r="BW267" s="188"/>
      <c r="BX267" s="188"/>
    </row>
    <row r="268" spans="1:76" ht="17.25" customHeight="1" x14ac:dyDescent="0.25">
      <c r="A268" s="200"/>
      <c r="B268" s="191"/>
      <c r="C268" s="199" t="s">
        <v>6</v>
      </c>
      <c r="D268" s="199" t="s">
        <v>26</v>
      </c>
      <c r="E268" s="198"/>
      <c r="F268" s="198">
        <f>E268*1.12</f>
        <v>0</v>
      </c>
      <c r="G268" s="197"/>
      <c r="H268" s="196"/>
      <c r="I268" s="195"/>
      <c r="J268" s="195">
        <f>I268*1.12</f>
        <v>0</v>
      </c>
      <c r="K268" s="252"/>
      <c r="L268" s="251"/>
      <c r="M268" s="193"/>
      <c r="N268" s="50">
        <f>P268</f>
        <v>97178404.999999985</v>
      </c>
      <c r="O268" s="50">
        <f>Q268</f>
        <v>108839813.59999999</v>
      </c>
      <c r="P268" s="51">
        <f>Q268/1.12</f>
        <v>97178404.999999985</v>
      </c>
      <c r="Q268" s="192">
        <f>Q267</f>
        <v>108839813.59999999</v>
      </c>
      <c r="R268" s="191"/>
      <c r="S268" s="190"/>
      <c r="T268" s="66"/>
      <c r="U268" s="66"/>
      <c r="V268" s="66"/>
      <c r="W268" s="66"/>
      <c r="X268" s="66"/>
      <c r="Y268" s="66"/>
      <c r="Z268" s="66"/>
      <c r="AA268" s="66"/>
      <c r="AB268" s="66"/>
      <c r="AC268" s="250">
        <f>AC269</f>
        <v>96994.551160714269</v>
      </c>
      <c r="AD268" s="247">
        <f>AC268*1.12</f>
        <v>108633.8973</v>
      </c>
      <c r="AE268" s="66"/>
      <c r="AF268" s="66">
        <f>AC268+Z268+W268+T268</f>
        <v>96994.551160714269</v>
      </c>
      <c r="AG268" s="66">
        <f>AD268+AA268+X268+U268</f>
        <v>108633.8973</v>
      </c>
      <c r="AH268" s="66"/>
      <c r="AI268" s="66"/>
      <c r="AJ268" s="66"/>
      <c r="AK268" s="66"/>
      <c r="AL268" s="117">
        <f>AL269</f>
        <v>0</v>
      </c>
      <c r="AM268" s="64">
        <f>AL268*1.12</f>
        <v>0</v>
      </c>
      <c r="AN268" s="66"/>
      <c r="AO268" s="64">
        <f>AL268-AI268</f>
        <v>0</v>
      </c>
      <c r="AP268" s="64">
        <f>AM268-AJ268</f>
        <v>0</v>
      </c>
      <c r="AQ268" s="62"/>
      <c r="AR268" s="189" t="str">
        <f>IF(AI268=0,"",AL268/AI268)</f>
        <v/>
      </c>
      <c r="AS268" s="63"/>
      <c r="AT268" s="63">
        <f>AL268</f>
        <v>0</v>
      </c>
      <c r="AU268" s="63"/>
      <c r="AV268" s="64">
        <f>AL268</f>
        <v>0</v>
      </c>
      <c r="AW268" s="64">
        <f>AV268*1.12</f>
        <v>0</v>
      </c>
      <c r="AX268" s="62"/>
      <c r="AY268" s="62"/>
      <c r="AZ268" s="62"/>
      <c r="BA268" s="62"/>
      <c r="BB268" s="62"/>
      <c r="BC268" s="62"/>
      <c r="BD268" s="62"/>
      <c r="BE268" s="62"/>
      <c r="BF268" s="62"/>
      <c r="BG268" s="62"/>
      <c r="BH268" s="62"/>
      <c r="BI268" s="62"/>
      <c r="BJ268" s="62"/>
      <c r="BK268" s="62"/>
      <c r="BL268" s="62"/>
      <c r="BM268" s="59"/>
      <c r="BN268" s="59"/>
      <c r="BO268" s="59"/>
      <c r="BP268" s="59"/>
      <c r="BQ268" s="59"/>
      <c r="BR268" s="59"/>
      <c r="BS268" s="59"/>
      <c r="BT268" s="59"/>
      <c r="BU268" s="57"/>
      <c r="BV268" s="57"/>
      <c r="BW268" s="188"/>
      <c r="BX268" s="188"/>
    </row>
    <row r="269" spans="1:76" ht="17.25" customHeight="1" x14ac:dyDescent="0.25">
      <c r="A269" s="200"/>
      <c r="B269" s="191"/>
      <c r="C269" s="187" t="s">
        <v>6</v>
      </c>
      <c r="D269" s="187" t="s">
        <v>5</v>
      </c>
      <c r="E269" s="186"/>
      <c r="F269" s="186">
        <f>E269*1.12</f>
        <v>0</v>
      </c>
      <c r="G269" s="197"/>
      <c r="H269" s="196"/>
      <c r="I269" s="183"/>
      <c r="J269" s="183">
        <f>I269*1.12</f>
        <v>0</v>
      </c>
      <c r="K269" s="249"/>
      <c r="L269" s="248"/>
      <c r="M269" s="181"/>
      <c r="N269" s="50">
        <f>P269</f>
        <v>97178404.999999985</v>
      </c>
      <c r="O269" s="50">
        <f>Q269</f>
        <v>108839813.59999999</v>
      </c>
      <c r="P269" s="50">
        <f>Q269/1.12</f>
        <v>97178404.999999985</v>
      </c>
      <c r="Q269" s="180">
        <f>Q268</f>
        <v>108839813.59999999</v>
      </c>
      <c r="R269" s="56"/>
      <c r="S269" s="179"/>
      <c r="T269" s="46"/>
      <c r="U269" s="46"/>
      <c r="V269" s="46"/>
      <c r="W269" s="46"/>
      <c r="X269" s="46"/>
      <c r="Y269" s="46"/>
      <c r="Z269" s="46"/>
      <c r="AA269" s="46"/>
      <c r="AB269" s="46"/>
      <c r="AC269" s="46">
        <f>108633.8973/1.12</f>
        <v>96994.551160714269</v>
      </c>
      <c r="AD269" s="47">
        <f>AC269*1.12</f>
        <v>108633.8973</v>
      </c>
      <c r="AE269" s="46"/>
      <c r="AF269" s="46">
        <f>AC269+Z269+W269+T269</f>
        <v>96994.551160714269</v>
      </c>
      <c r="AG269" s="46">
        <f>AD269+AA269+X269+U269</f>
        <v>108633.8973</v>
      </c>
      <c r="AH269" s="46"/>
      <c r="AI269" s="46"/>
      <c r="AJ269" s="46"/>
      <c r="AK269" s="46"/>
      <c r="AL269" s="46"/>
      <c r="AM269" s="41">
        <f>AL269*1.12</f>
        <v>0</v>
      </c>
      <c r="AN269" s="46"/>
      <c r="AO269" s="44">
        <f>AO268</f>
        <v>0</v>
      </c>
      <c r="AP269" s="44">
        <f>AP268</f>
        <v>0</v>
      </c>
      <c r="AQ269" s="41"/>
      <c r="AR269" s="178" t="str">
        <f>IF(AI269=0,"",AL269/AI269)</f>
        <v/>
      </c>
      <c r="AS269" s="42"/>
      <c r="AT269" s="42">
        <f>AL269</f>
        <v>0</v>
      </c>
      <c r="AU269" s="42"/>
      <c r="AV269" s="44">
        <f>AV268</f>
        <v>0</v>
      </c>
      <c r="AW269" s="44">
        <f>AV269*1.12</f>
        <v>0</v>
      </c>
      <c r="AX269" s="41"/>
      <c r="AY269" s="41"/>
      <c r="AZ269" s="41"/>
      <c r="BA269" s="41"/>
      <c r="BB269" s="41"/>
      <c r="BC269" s="41"/>
      <c r="BD269" s="41"/>
      <c r="BE269" s="41"/>
      <c r="BF269" s="62"/>
      <c r="BG269" s="41"/>
      <c r="BH269" s="41"/>
      <c r="BI269" s="41"/>
      <c r="BJ269" s="41"/>
      <c r="BK269" s="41"/>
      <c r="BL269" s="41"/>
      <c r="BM269" s="39"/>
      <c r="BN269" s="39"/>
      <c r="BO269" s="39"/>
      <c r="BP269" s="39"/>
      <c r="BQ269" s="39"/>
      <c r="BR269" s="39"/>
      <c r="BS269" s="39"/>
      <c r="BT269" s="39"/>
      <c r="BW269" s="188"/>
      <c r="BX269" s="188"/>
    </row>
    <row r="270" spans="1:76" ht="17.25" customHeight="1" x14ac:dyDescent="0.25">
      <c r="A270" s="200"/>
      <c r="B270" s="191"/>
      <c r="C270" s="214" t="s">
        <v>9</v>
      </c>
      <c r="D270" s="214" t="s">
        <v>8</v>
      </c>
      <c r="E270" s="213"/>
      <c r="F270" s="213">
        <f>E270*1.12</f>
        <v>0</v>
      </c>
      <c r="G270" s="197"/>
      <c r="H270" s="196"/>
      <c r="I270" s="212"/>
      <c r="J270" s="212">
        <f>I270*1.12</f>
        <v>0</v>
      </c>
      <c r="K270" s="254" t="s">
        <v>37</v>
      </c>
      <c r="L270" s="253" t="s">
        <v>66</v>
      </c>
      <c r="M270" s="211" t="s">
        <v>13</v>
      </c>
      <c r="N270" s="210">
        <f>P270</f>
        <v>97178404.999999985</v>
      </c>
      <c r="O270" s="210">
        <f>Q270</f>
        <v>108839813.59999999</v>
      </c>
      <c r="P270" s="210">
        <f>Q270/1.12</f>
        <v>97178404.999999985</v>
      </c>
      <c r="Q270" s="209">
        <v>108839813.59999999</v>
      </c>
      <c r="R270" s="73" t="s">
        <v>53</v>
      </c>
      <c r="S270" s="208">
        <v>41</v>
      </c>
      <c r="T270" s="206"/>
      <c r="U270" s="206"/>
      <c r="V270" s="206"/>
      <c r="W270" s="206"/>
      <c r="X270" s="206"/>
      <c r="Y270" s="206"/>
      <c r="Z270" s="206"/>
      <c r="AA270" s="206"/>
      <c r="AB270" s="206"/>
      <c r="AC270" s="206">
        <f>98677-15077</f>
        <v>83600</v>
      </c>
      <c r="AD270" s="207">
        <f>AC270*1.12</f>
        <v>93632.000000000015</v>
      </c>
      <c r="AE270" s="206">
        <v>41</v>
      </c>
      <c r="AF270" s="206">
        <f>Z270+AC270+W270+T270</f>
        <v>83600</v>
      </c>
      <c r="AG270" s="206">
        <f>AA270+AD270+X270+U270</f>
        <v>93632.000000000015</v>
      </c>
      <c r="AH270" s="206">
        <f>AB270+AE270+Y270+V270</f>
        <v>41</v>
      </c>
      <c r="AI270" s="206"/>
      <c r="AJ270" s="206"/>
      <c r="AK270" s="206"/>
      <c r="AL270" s="206"/>
      <c r="AM270" s="203">
        <f>AL270*1.12</f>
        <v>0</v>
      </c>
      <c r="AN270" s="206"/>
      <c r="AO270" s="203"/>
      <c r="AP270" s="203"/>
      <c r="AQ270" s="203"/>
      <c r="AR270" s="205" t="str">
        <f>IF(AI270=0,"",AL270/AI270)</f>
        <v/>
      </c>
      <c r="AS270" s="204"/>
      <c r="AT270" s="204"/>
      <c r="AU270" s="204"/>
      <c r="AV270" s="203">
        <f>AL270</f>
        <v>0</v>
      </c>
      <c r="AW270" s="203">
        <f>AV270*1.12</f>
        <v>0</v>
      </c>
      <c r="AX270" s="203"/>
      <c r="AY270" s="203"/>
      <c r="AZ270" s="203"/>
      <c r="BA270" s="203"/>
      <c r="BB270" s="203"/>
      <c r="BC270" s="203"/>
      <c r="BD270" s="203"/>
      <c r="BE270" s="203"/>
      <c r="BF270" s="203"/>
      <c r="BG270" s="203"/>
      <c r="BH270" s="203"/>
      <c r="BI270" s="203"/>
      <c r="BJ270" s="203"/>
      <c r="BK270" s="203"/>
      <c r="BL270" s="203"/>
      <c r="BM270" s="202"/>
      <c r="BN270" s="202"/>
      <c r="BO270" s="202"/>
      <c r="BP270" s="202"/>
      <c r="BQ270" s="202"/>
      <c r="BR270" s="202"/>
      <c r="BS270" s="202"/>
      <c r="BT270" s="202"/>
      <c r="BU270" s="201"/>
      <c r="BV270" s="201"/>
      <c r="BW270" s="188"/>
      <c r="BX270" s="188"/>
    </row>
    <row r="271" spans="1:76" ht="17.25" customHeight="1" x14ac:dyDescent="0.25">
      <c r="A271" s="200"/>
      <c r="B271" s="191"/>
      <c r="C271" s="199" t="s">
        <v>6</v>
      </c>
      <c r="D271" s="199" t="s">
        <v>26</v>
      </c>
      <c r="E271" s="198"/>
      <c r="F271" s="198">
        <f>E271*1.12</f>
        <v>0</v>
      </c>
      <c r="G271" s="197"/>
      <c r="H271" s="196"/>
      <c r="I271" s="195"/>
      <c r="J271" s="195">
        <f>I271*1.12</f>
        <v>0</v>
      </c>
      <c r="K271" s="252"/>
      <c r="L271" s="251"/>
      <c r="M271" s="193"/>
      <c r="N271" s="50">
        <f>P271</f>
        <v>97178404.999999985</v>
      </c>
      <c r="O271" s="50">
        <f>Q271</f>
        <v>108839813.59999999</v>
      </c>
      <c r="P271" s="51">
        <f>Q271/1.12</f>
        <v>97178404.999999985</v>
      </c>
      <c r="Q271" s="192">
        <f>Q270</f>
        <v>108839813.59999999</v>
      </c>
      <c r="R271" s="191"/>
      <c r="S271" s="190"/>
      <c r="T271" s="66"/>
      <c r="U271" s="66"/>
      <c r="V271" s="66"/>
      <c r="W271" s="66"/>
      <c r="X271" s="66"/>
      <c r="Y271" s="66"/>
      <c r="Z271" s="66"/>
      <c r="AA271" s="66"/>
      <c r="AB271" s="66"/>
      <c r="AC271" s="250">
        <f>AC272</f>
        <v>47064.117303571424</v>
      </c>
      <c r="AD271" s="247">
        <f>AC271*1.12</f>
        <v>52711.811379999999</v>
      </c>
      <c r="AE271" s="66"/>
      <c r="AF271" s="66">
        <f>AC271+Z271+W271+T271</f>
        <v>47064.117303571424</v>
      </c>
      <c r="AG271" s="66">
        <f>AD271+AA271+X271+U271</f>
        <v>52711.811379999999</v>
      </c>
      <c r="AH271" s="66"/>
      <c r="AI271" s="66"/>
      <c r="AJ271" s="66"/>
      <c r="AK271" s="66"/>
      <c r="AL271" s="117">
        <f>AL272</f>
        <v>0</v>
      </c>
      <c r="AM271" s="64">
        <f>AL271*1.12</f>
        <v>0</v>
      </c>
      <c r="AN271" s="66"/>
      <c r="AO271" s="64">
        <f>AL271-AI271</f>
        <v>0</v>
      </c>
      <c r="AP271" s="64">
        <f>AM271-AJ271</f>
        <v>0</v>
      </c>
      <c r="AQ271" s="62"/>
      <c r="AR271" s="189" t="str">
        <f>IF(AI271=0,"",AL271/AI271)</f>
        <v/>
      </c>
      <c r="AS271" s="63"/>
      <c r="AT271" s="63">
        <f>AL271</f>
        <v>0</v>
      </c>
      <c r="AU271" s="63"/>
      <c r="AV271" s="64">
        <f>AL271</f>
        <v>0</v>
      </c>
      <c r="AW271" s="64">
        <f>AV271*1.12</f>
        <v>0</v>
      </c>
      <c r="AX271" s="62"/>
      <c r="AY271" s="62"/>
      <c r="AZ271" s="62"/>
      <c r="BA271" s="62"/>
      <c r="BB271" s="62"/>
      <c r="BC271" s="62"/>
      <c r="BD271" s="62"/>
      <c r="BE271" s="62"/>
      <c r="BF271" s="62"/>
      <c r="BG271" s="62"/>
      <c r="BH271" s="62"/>
      <c r="BI271" s="62"/>
      <c r="BJ271" s="62"/>
      <c r="BK271" s="62"/>
      <c r="BL271" s="62"/>
      <c r="BM271" s="59"/>
      <c r="BN271" s="59"/>
      <c r="BO271" s="59"/>
      <c r="BP271" s="59"/>
      <c r="BQ271" s="59"/>
      <c r="BR271" s="59"/>
      <c r="BS271" s="59"/>
      <c r="BT271" s="59"/>
      <c r="BU271" s="57"/>
      <c r="BV271" s="57"/>
      <c r="BW271" s="188"/>
      <c r="BX271" s="188"/>
    </row>
    <row r="272" spans="1:76" ht="17.25" customHeight="1" x14ac:dyDescent="0.25">
      <c r="A272" s="200"/>
      <c r="B272" s="191"/>
      <c r="C272" s="187" t="s">
        <v>6</v>
      </c>
      <c r="D272" s="187" t="s">
        <v>5</v>
      </c>
      <c r="E272" s="186"/>
      <c r="F272" s="186">
        <f>E272*1.12</f>
        <v>0</v>
      </c>
      <c r="G272" s="197"/>
      <c r="H272" s="196"/>
      <c r="I272" s="183"/>
      <c r="J272" s="183">
        <f>I272*1.12</f>
        <v>0</v>
      </c>
      <c r="K272" s="249"/>
      <c r="L272" s="248"/>
      <c r="M272" s="181"/>
      <c r="N272" s="50">
        <f>P272</f>
        <v>97178404.999999985</v>
      </c>
      <c r="O272" s="50">
        <f>Q272</f>
        <v>108839813.59999999</v>
      </c>
      <c r="P272" s="50">
        <f>Q272/1.12</f>
        <v>97178404.999999985</v>
      </c>
      <c r="Q272" s="180">
        <f>Q271</f>
        <v>108839813.59999999</v>
      </c>
      <c r="R272" s="56"/>
      <c r="S272" s="179"/>
      <c r="T272" s="46"/>
      <c r="U272" s="46"/>
      <c r="V272" s="46"/>
      <c r="W272" s="46"/>
      <c r="X272" s="46"/>
      <c r="Y272" s="46"/>
      <c r="Z272" s="46"/>
      <c r="AA272" s="46"/>
      <c r="AB272" s="46"/>
      <c r="AC272" s="46">
        <f>52711.81138/1.12</f>
        <v>47064.117303571424</v>
      </c>
      <c r="AD272" s="47">
        <f>AC272*1.12</f>
        <v>52711.811379999999</v>
      </c>
      <c r="AE272" s="46"/>
      <c r="AF272" s="46">
        <f>AC272+Z272+W272+T272</f>
        <v>47064.117303571424</v>
      </c>
      <c r="AG272" s="46">
        <f>AD272+AA272+X272+U272</f>
        <v>52711.811379999999</v>
      </c>
      <c r="AH272" s="46"/>
      <c r="AI272" s="46"/>
      <c r="AJ272" s="46"/>
      <c r="AK272" s="46"/>
      <c r="AL272" s="46"/>
      <c r="AM272" s="41">
        <f>AL272*1.12</f>
        <v>0</v>
      </c>
      <c r="AN272" s="46"/>
      <c r="AO272" s="44">
        <f>AO271</f>
        <v>0</v>
      </c>
      <c r="AP272" s="44">
        <f>AP271</f>
        <v>0</v>
      </c>
      <c r="AQ272" s="41"/>
      <c r="AR272" s="178" t="str">
        <f>IF(AI272=0,"",AL272/AI272)</f>
        <v/>
      </c>
      <c r="AS272" s="42"/>
      <c r="AT272" s="42">
        <f>AL272</f>
        <v>0</v>
      </c>
      <c r="AU272" s="42"/>
      <c r="AV272" s="44">
        <f>AV271</f>
        <v>0</v>
      </c>
      <c r="AW272" s="44">
        <f>AV272*1.12</f>
        <v>0</v>
      </c>
      <c r="AX272" s="41"/>
      <c r="AY272" s="41"/>
      <c r="AZ272" s="41"/>
      <c r="BA272" s="41"/>
      <c r="BB272" s="41"/>
      <c r="BC272" s="41"/>
      <c r="BD272" s="41"/>
      <c r="BE272" s="41"/>
      <c r="BF272" s="62"/>
      <c r="BG272" s="41"/>
      <c r="BH272" s="41"/>
      <c r="BI272" s="41"/>
      <c r="BJ272" s="41"/>
      <c r="BK272" s="41"/>
      <c r="BL272" s="41"/>
      <c r="BM272" s="39"/>
      <c r="BN272" s="39"/>
      <c r="BO272" s="39"/>
      <c r="BP272" s="39"/>
      <c r="BQ272" s="39"/>
      <c r="BR272" s="39"/>
      <c r="BS272" s="39"/>
      <c r="BT272" s="39"/>
      <c r="BW272" s="188"/>
      <c r="BX272" s="188"/>
    </row>
    <row r="273" spans="1:76" ht="17.25" customHeight="1" x14ac:dyDescent="0.25">
      <c r="A273" s="200"/>
      <c r="B273" s="191"/>
      <c r="C273" s="214" t="s">
        <v>9</v>
      </c>
      <c r="D273" s="214" t="s">
        <v>8</v>
      </c>
      <c r="E273" s="213"/>
      <c r="F273" s="213">
        <f>E273*1.12</f>
        <v>0</v>
      </c>
      <c r="G273" s="197"/>
      <c r="H273" s="196"/>
      <c r="I273" s="212"/>
      <c r="J273" s="212">
        <f>I273*1.12</f>
        <v>0</v>
      </c>
      <c r="K273" s="228" t="s">
        <v>40</v>
      </c>
      <c r="L273" s="224" t="s">
        <v>65</v>
      </c>
      <c r="M273" s="211" t="s">
        <v>13</v>
      </c>
      <c r="N273" s="210">
        <f>P273</f>
        <v>869864235</v>
      </c>
      <c r="O273" s="210">
        <f>Q273</f>
        <v>974247943.20000005</v>
      </c>
      <c r="P273" s="210">
        <f>Q273/1.12</f>
        <v>869864235</v>
      </c>
      <c r="Q273" s="209">
        <v>974247943.20000005</v>
      </c>
      <c r="R273" s="73" t="s">
        <v>53</v>
      </c>
      <c r="S273" s="208">
        <v>367</v>
      </c>
      <c r="T273" s="206"/>
      <c r="U273" s="206"/>
      <c r="V273" s="206"/>
      <c r="W273" s="206"/>
      <c r="X273" s="206"/>
      <c r="Y273" s="206"/>
      <c r="Z273" s="206"/>
      <c r="AA273" s="206"/>
      <c r="AB273" s="206"/>
      <c r="AC273" s="206">
        <f>419625+479275</f>
        <v>898900</v>
      </c>
      <c r="AD273" s="207">
        <f>AC273*1.12</f>
        <v>1006768.0000000001</v>
      </c>
      <c r="AE273" s="206">
        <f>184+183</f>
        <v>367</v>
      </c>
      <c r="AF273" s="206">
        <f>Z273+AC273+W273+T273</f>
        <v>898900</v>
      </c>
      <c r="AG273" s="206">
        <f>AA273+AD273+X273+U273</f>
        <v>1006768.0000000001</v>
      </c>
      <c r="AH273" s="206">
        <f>AB273+AE273+Y273+V273</f>
        <v>367</v>
      </c>
      <c r="AI273" s="206"/>
      <c r="AJ273" s="206"/>
      <c r="AK273" s="206"/>
      <c r="AL273" s="206"/>
      <c r="AM273" s="203">
        <f>AL273*1.12</f>
        <v>0</v>
      </c>
      <c r="AN273" s="206"/>
      <c r="AO273" s="203"/>
      <c r="AP273" s="203"/>
      <c r="AQ273" s="203"/>
      <c r="AR273" s="205" t="str">
        <f>IF(AI273=0,"",AL273/AI273)</f>
        <v/>
      </c>
      <c r="AS273" s="204"/>
      <c r="AT273" s="204"/>
      <c r="AU273" s="204"/>
      <c r="AV273" s="203"/>
      <c r="AW273" s="203">
        <f>AV273*1.12</f>
        <v>0</v>
      </c>
      <c r="AX273" s="203"/>
      <c r="AY273" s="203"/>
      <c r="AZ273" s="203"/>
      <c r="BA273" s="203"/>
      <c r="BB273" s="203"/>
      <c r="BC273" s="203"/>
      <c r="BD273" s="203"/>
      <c r="BE273" s="203"/>
      <c r="BF273" s="203"/>
      <c r="BG273" s="203"/>
      <c r="BH273" s="203"/>
      <c r="BI273" s="203"/>
      <c r="BJ273" s="203"/>
      <c r="BK273" s="203"/>
      <c r="BL273" s="203"/>
      <c r="BM273" s="202"/>
      <c r="BN273" s="202"/>
      <c r="BO273" s="202"/>
      <c r="BP273" s="202"/>
      <c r="BQ273" s="202"/>
      <c r="BR273" s="202"/>
      <c r="BS273" s="202"/>
      <c r="BT273" s="202"/>
      <c r="BU273" s="201"/>
      <c r="BV273" s="201"/>
      <c r="BW273" s="188"/>
      <c r="BX273" s="188"/>
    </row>
    <row r="274" spans="1:76" ht="17.25" customHeight="1" x14ac:dyDescent="0.25">
      <c r="A274" s="200"/>
      <c r="B274" s="191"/>
      <c r="C274" s="199" t="s">
        <v>6</v>
      </c>
      <c r="D274" s="199" t="s">
        <v>26</v>
      </c>
      <c r="E274" s="198"/>
      <c r="F274" s="198">
        <f>E274*1.12</f>
        <v>0</v>
      </c>
      <c r="G274" s="197"/>
      <c r="H274" s="196"/>
      <c r="I274" s="195"/>
      <c r="J274" s="195">
        <f>I274*1.12</f>
        <v>0</v>
      </c>
      <c r="K274" s="227"/>
      <c r="L274" s="222"/>
      <c r="M274" s="193"/>
      <c r="N274" s="50">
        <f>P274</f>
        <v>869864235</v>
      </c>
      <c r="O274" s="50">
        <f>Q274</f>
        <v>974247943.20000005</v>
      </c>
      <c r="P274" s="51">
        <f>Q274/1.12</f>
        <v>869864235</v>
      </c>
      <c r="Q274" s="192">
        <f>Q273</f>
        <v>974247943.20000005</v>
      </c>
      <c r="R274" s="191"/>
      <c r="S274" s="190"/>
      <c r="T274" s="66"/>
      <c r="U274" s="66"/>
      <c r="V274" s="66"/>
      <c r="W274" s="66"/>
      <c r="X274" s="66"/>
      <c r="Y274" s="66"/>
      <c r="Z274" s="66"/>
      <c r="AA274" s="66"/>
      <c r="AB274" s="66"/>
      <c r="AC274" s="117">
        <f>AC275</f>
        <v>278750.61967857135</v>
      </c>
      <c r="AD274" s="247">
        <f>AC274*1.12</f>
        <v>312200.69403999997</v>
      </c>
      <c r="AE274" s="66"/>
      <c r="AF274" s="66">
        <f>AC274+Z274+W274+T274</f>
        <v>278750.61967857135</v>
      </c>
      <c r="AG274" s="66">
        <f>AD274+AA274+X274+U274</f>
        <v>312200.69403999997</v>
      </c>
      <c r="AH274" s="66"/>
      <c r="AI274" s="66">
        <f>AJ274/1.12</f>
        <v>324398.21428571426</v>
      </c>
      <c r="AJ274" s="66">
        <v>363326</v>
      </c>
      <c r="AK274" s="66"/>
      <c r="AL274" s="117">
        <f>AL275</f>
        <v>324398.25681249995</v>
      </c>
      <c r="AM274" s="64">
        <f>AL274*1.12</f>
        <v>363326.04762999999</v>
      </c>
      <c r="AN274" s="66"/>
      <c r="AO274" s="64">
        <f>AL274-AI274</f>
        <v>4.2526785691734403E-2</v>
      </c>
      <c r="AP274" s="64">
        <f>AM274-AJ274</f>
        <v>4.7629999986384064E-2</v>
      </c>
      <c r="AQ274" s="62"/>
      <c r="AR274" s="189">
        <f>IF(AI274=0,"",AL274/AI274)</f>
        <v>1.0000001310943889</v>
      </c>
      <c r="AS274" s="63">
        <f>AS275</f>
        <v>324398.25681249995</v>
      </c>
      <c r="AT274" s="63"/>
      <c r="AU274" s="63"/>
      <c r="AV274" s="64">
        <f>AL274</f>
        <v>324398.25681249995</v>
      </c>
      <c r="AW274" s="64">
        <f>AV274*1.12</f>
        <v>363326.04762999999</v>
      </c>
      <c r="AX274" s="62"/>
      <c r="AY274" s="62"/>
      <c r="AZ274" s="62"/>
      <c r="BA274" s="62"/>
      <c r="BB274" s="62"/>
      <c r="BC274" s="62"/>
      <c r="BD274" s="62"/>
      <c r="BE274" s="62"/>
      <c r="BF274" s="62"/>
      <c r="BG274" s="62"/>
      <c r="BH274" s="62"/>
      <c r="BI274" s="62"/>
      <c r="BJ274" s="62"/>
      <c r="BK274" s="62"/>
      <c r="BL274" s="62"/>
      <c r="BM274" s="59"/>
      <c r="BN274" s="59"/>
      <c r="BO274" s="59"/>
      <c r="BP274" s="59"/>
      <c r="BQ274" s="59"/>
      <c r="BR274" s="59"/>
      <c r="BS274" s="59"/>
      <c r="BT274" s="59"/>
      <c r="BU274" s="57"/>
      <c r="BV274" s="57"/>
      <c r="BW274" s="188"/>
      <c r="BX274" s="188"/>
    </row>
    <row r="275" spans="1:76" ht="17.25" customHeight="1" x14ac:dyDescent="0.25">
      <c r="A275" s="200"/>
      <c r="B275" s="191"/>
      <c r="C275" s="187" t="s">
        <v>6</v>
      </c>
      <c r="D275" s="187" t="s">
        <v>5</v>
      </c>
      <c r="E275" s="186"/>
      <c r="F275" s="186">
        <f>E275*1.12</f>
        <v>0</v>
      </c>
      <c r="G275" s="197"/>
      <c r="H275" s="196"/>
      <c r="I275" s="183"/>
      <c r="J275" s="183">
        <f>I275*1.12</f>
        <v>0</v>
      </c>
      <c r="K275" s="226"/>
      <c r="L275" s="220"/>
      <c r="M275" s="181"/>
      <c r="N275" s="50">
        <f>P275</f>
        <v>869864235</v>
      </c>
      <c r="O275" s="50">
        <f>Q275</f>
        <v>974247943.20000005</v>
      </c>
      <c r="P275" s="50">
        <f>Q275/1.12</f>
        <v>869864235</v>
      </c>
      <c r="Q275" s="180">
        <f>Q274</f>
        <v>974247943.20000005</v>
      </c>
      <c r="R275" s="56"/>
      <c r="S275" s="179"/>
      <c r="T275" s="46"/>
      <c r="U275" s="46"/>
      <c r="V275" s="46"/>
      <c r="W275" s="46"/>
      <c r="X275" s="46"/>
      <c r="Y275" s="46"/>
      <c r="Z275" s="46"/>
      <c r="AA275" s="46"/>
      <c r="AB275" s="46"/>
      <c r="AC275" s="46">
        <f>312200.69404/1.12</f>
        <v>278750.61967857135</v>
      </c>
      <c r="AD275" s="47">
        <f>AC275*1.12</f>
        <v>312200.69403999997</v>
      </c>
      <c r="AE275" s="46"/>
      <c r="AF275" s="46">
        <f>AC275+Z275+W275+T275</f>
        <v>278750.61967857135</v>
      </c>
      <c r="AG275" s="46">
        <f>AD275+AA275+X275+U275</f>
        <v>312200.69403999997</v>
      </c>
      <c r="AH275" s="46"/>
      <c r="AI275" s="46">
        <f>AJ275/1.12</f>
        <v>324398.21428571426</v>
      </c>
      <c r="AJ275" s="46">
        <f>AJ274</f>
        <v>363326</v>
      </c>
      <c r="AK275" s="46"/>
      <c r="AL275" s="246">
        <f>100000/1.12+263326.04763/1.12</f>
        <v>324398.25681249995</v>
      </c>
      <c r="AM275" s="41">
        <f>AL275*1.12</f>
        <v>363326.04762999999</v>
      </c>
      <c r="AN275" s="46"/>
      <c r="AO275" s="44">
        <f>AO274</f>
        <v>4.2526785691734403E-2</v>
      </c>
      <c r="AP275" s="44">
        <f>AP274</f>
        <v>4.7629999986384064E-2</v>
      </c>
      <c r="AQ275" s="41"/>
      <c r="AR275" s="178">
        <f>IF(AI275=0,"",AL275/AI275)</f>
        <v>1.0000001310943889</v>
      </c>
      <c r="AS275" s="42">
        <f>AL275</f>
        <v>324398.25681249995</v>
      </c>
      <c r="AT275" s="42"/>
      <c r="AU275" s="42"/>
      <c r="AV275" s="44">
        <f>AV274</f>
        <v>324398.25681249995</v>
      </c>
      <c r="AW275" s="44">
        <f>AV275*1.12</f>
        <v>363326.04762999999</v>
      </c>
      <c r="AX275" s="41"/>
      <c r="AY275" s="41"/>
      <c r="AZ275" s="41"/>
      <c r="BA275" s="41"/>
      <c r="BB275" s="41"/>
      <c r="BC275" s="41"/>
      <c r="BD275" s="41"/>
      <c r="BE275" s="41"/>
      <c r="BF275" s="62"/>
      <c r="BG275" s="41"/>
      <c r="BH275" s="41"/>
      <c r="BI275" s="41"/>
      <c r="BJ275" s="41"/>
      <c r="BK275" s="41"/>
      <c r="BL275" s="41"/>
      <c r="BM275" s="39"/>
      <c r="BN275" s="39"/>
      <c r="BO275" s="39"/>
      <c r="BP275" s="39"/>
      <c r="BQ275" s="39"/>
      <c r="BR275" s="39"/>
      <c r="BS275" s="39"/>
      <c r="BT275" s="39"/>
      <c r="BW275" s="188"/>
      <c r="BX275" s="188"/>
    </row>
    <row r="276" spans="1:76" ht="17.25" customHeight="1" x14ac:dyDescent="0.25">
      <c r="A276" s="200"/>
      <c r="B276" s="191"/>
      <c r="C276" s="214" t="s">
        <v>9</v>
      </c>
      <c r="D276" s="214" t="s">
        <v>8</v>
      </c>
      <c r="E276" s="213"/>
      <c r="F276" s="213">
        <f>E276*1.12</f>
        <v>0</v>
      </c>
      <c r="G276" s="197"/>
      <c r="H276" s="196"/>
      <c r="I276" s="212"/>
      <c r="J276" s="212">
        <f>I276*1.12</f>
        <v>0</v>
      </c>
      <c r="K276" s="228" t="s">
        <v>64</v>
      </c>
      <c r="L276" s="224" t="s">
        <v>63</v>
      </c>
      <c r="M276" s="211" t="s">
        <v>13</v>
      </c>
      <c r="N276" s="210">
        <f>P276</f>
        <v>196726599.99999997</v>
      </c>
      <c r="O276" s="210">
        <f>Q276</f>
        <v>220333792</v>
      </c>
      <c r="P276" s="210">
        <f>Q276/1.12</f>
        <v>196726599.99999997</v>
      </c>
      <c r="Q276" s="209">
        <v>220333792</v>
      </c>
      <c r="R276" s="73" t="s">
        <v>53</v>
      </c>
      <c r="S276" s="208">
        <v>83</v>
      </c>
      <c r="T276" s="206"/>
      <c r="U276" s="206"/>
      <c r="V276" s="206"/>
      <c r="W276" s="206"/>
      <c r="X276" s="206"/>
      <c r="Y276" s="206"/>
      <c r="Z276" s="206"/>
      <c r="AA276" s="206"/>
      <c r="AB276" s="206"/>
      <c r="AC276" s="206">
        <f>75247+94664</f>
        <v>169911</v>
      </c>
      <c r="AD276" s="207">
        <f>AC276*1.12</f>
        <v>190300.32</v>
      </c>
      <c r="AE276" s="206">
        <f>42+41</f>
        <v>83</v>
      </c>
      <c r="AF276" s="206">
        <f>Z276+AC276+W276+T276</f>
        <v>169911</v>
      </c>
      <c r="AG276" s="206">
        <f>AA276+AD276+X276+U276</f>
        <v>190300.32</v>
      </c>
      <c r="AH276" s="206">
        <f>AB276+AE276+Y276+V276</f>
        <v>83</v>
      </c>
      <c r="AI276" s="206"/>
      <c r="AJ276" s="206"/>
      <c r="AK276" s="206"/>
      <c r="AL276" s="206"/>
      <c r="AM276" s="203">
        <f>AL276*1.12</f>
        <v>0</v>
      </c>
      <c r="AN276" s="206"/>
      <c r="AO276" s="203"/>
      <c r="AP276" s="203"/>
      <c r="AQ276" s="203"/>
      <c r="AR276" s="205" t="str">
        <f>IF(AI276=0,"",AL276/AI276)</f>
        <v/>
      </c>
      <c r="AS276" s="204"/>
      <c r="AT276" s="204"/>
      <c r="AU276" s="204"/>
      <c r="AV276" s="203"/>
      <c r="AW276" s="203">
        <f>AV276*1.12</f>
        <v>0</v>
      </c>
      <c r="AX276" s="203"/>
      <c r="AY276" s="203"/>
      <c r="AZ276" s="203"/>
      <c r="BA276" s="203"/>
      <c r="BB276" s="203"/>
      <c r="BC276" s="203"/>
      <c r="BD276" s="203"/>
      <c r="BE276" s="203"/>
      <c r="BF276" s="203"/>
      <c r="BG276" s="203"/>
      <c r="BH276" s="203"/>
      <c r="BI276" s="203"/>
      <c r="BJ276" s="203"/>
      <c r="BK276" s="203"/>
      <c r="BL276" s="203"/>
      <c r="BM276" s="202"/>
      <c r="BN276" s="202"/>
      <c r="BO276" s="202"/>
      <c r="BP276" s="202"/>
      <c r="BQ276" s="202"/>
      <c r="BR276" s="202"/>
      <c r="BS276" s="202"/>
      <c r="BT276" s="202"/>
      <c r="BU276" s="201"/>
      <c r="BV276" s="201"/>
      <c r="BW276" s="188"/>
      <c r="BX276" s="188"/>
    </row>
    <row r="277" spans="1:76" ht="17.25" customHeight="1" x14ac:dyDescent="0.25">
      <c r="A277" s="200"/>
      <c r="B277" s="191"/>
      <c r="C277" s="199" t="s">
        <v>6</v>
      </c>
      <c r="D277" s="199" t="s">
        <v>26</v>
      </c>
      <c r="E277" s="198"/>
      <c r="F277" s="198">
        <f>E277*1.12</f>
        <v>0</v>
      </c>
      <c r="G277" s="197"/>
      <c r="H277" s="196"/>
      <c r="I277" s="195"/>
      <c r="J277" s="195">
        <f>I277*1.12</f>
        <v>0</v>
      </c>
      <c r="K277" s="227"/>
      <c r="L277" s="222"/>
      <c r="M277" s="193"/>
      <c r="N277" s="50">
        <f>P277</f>
        <v>196726599.99999997</v>
      </c>
      <c r="O277" s="50">
        <f>Q277</f>
        <v>220333792</v>
      </c>
      <c r="P277" s="51">
        <f>Q277/1.12</f>
        <v>196726599.99999997</v>
      </c>
      <c r="Q277" s="192">
        <f>Q276</f>
        <v>220333792</v>
      </c>
      <c r="R277" s="191"/>
      <c r="S277" s="190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126">
        <f>AC277*1.12</f>
        <v>0</v>
      </c>
      <c r="AE277" s="66"/>
      <c r="AF277" s="66">
        <f>AC277+Z277+W277+T277</f>
        <v>0</v>
      </c>
      <c r="AG277" s="66">
        <f>AD277+AA277+X277+U277</f>
        <v>0</v>
      </c>
      <c r="AH277" s="66"/>
      <c r="AI277" s="66">
        <f>AJ277/1.12</f>
        <v>169612.22909821427</v>
      </c>
      <c r="AJ277" s="66">
        <f>95696.69659+94269</f>
        <v>189965.69659000001</v>
      </c>
      <c r="AK277" s="66"/>
      <c r="AL277" s="66">
        <f>AL278</f>
        <v>169612.31349999999</v>
      </c>
      <c r="AM277" s="62">
        <f>AL277*1.12</f>
        <v>189965.79112000001</v>
      </c>
      <c r="AN277" s="66"/>
      <c r="AO277" s="64">
        <f>AL277-AI277</f>
        <v>8.4401785716181621E-2</v>
      </c>
      <c r="AP277" s="64">
        <f>AM277-AJ277</f>
        <v>9.4530000002123415E-2</v>
      </c>
      <c r="AQ277" s="62"/>
      <c r="AR277" s="189">
        <f>IF(AI277=0,"",AL277/AI277)</f>
        <v>1.0000004976161576</v>
      </c>
      <c r="AS277" s="63">
        <f>AS278</f>
        <v>169612.31349999999</v>
      </c>
      <c r="AT277" s="63"/>
      <c r="AU277" s="63"/>
      <c r="AV277" s="64">
        <f>AL277</f>
        <v>169612.31349999999</v>
      </c>
      <c r="AW277" s="64">
        <f>AV277*1.12</f>
        <v>189965.79112000001</v>
      </c>
      <c r="AX277" s="62"/>
      <c r="AY277" s="62"/>
      <c r="AZ277" s="62"/>
      <c r="BA277" s="62"/>
      <c r="BB277" s="62"/>
      <c r="BC277" s="62"/>
      <c r="BD277" s="62"/>
      <c r="BE277" s="62"/>
      <c r="BF277" s="62"/>
      <c r="BG277" s="62"/>
      <c r="BH277" s="62"/>
      <c r="BI277" s="62"/>
      <c r="BJ277" s="62"/>
      <c r="BK277" s="62"/>
      <c r="BL277" s="62"/>
      <c r="BM277" s="59"/>
      <c r="BN277" s="59"/>
      <c r="BO277" s="59"/>
      <c r="BP277" s="59"/>
      <c r="BQ277" s="59"/>
      <c r="BR277" s="59"/>
      <c r="BS277" s="59"/>
      <c r="BT277" s="59"/>
      <c r="BU277" s="57"/>
      <c r="BV277" s="57"/>
      <c r="BW277" s="188"/>
      <c r="BX277" s="188"/>
    </row>
    <row r="278" spans="1:76" ht="17.25" customHeight="1" x14ac:dyDescent="0.25">
      <c r="A278" s="200"/>
      <c r="B278" s="191"/>
      <c r="C278" s="187" t="s">
        <v>6</v>
      </c>
      <c r="D278" s="187" t="s">
        <v>5</v>
      </c>
      <c r="E278" s="186"/>
      <c r="F278" s="186">
        <f>E278*1.12</f>
        <v>0</v>
      </c>
      <c r="G278" s="197"/>
      <c r="H278" s="196"/>
      <c r="I278" s="183"/>
      <c r="J278" s="183">
        <f>I278*1.12</f>
        <v>0</v>
      </c>
      <c r="K278" s="226"/>
      <c r="L278" s="220"/>
      <c r="M278" s="181"/>
      <c r="N278" s="50">
        <f>P278</f>
        <v>196726599.99999997</v>
      </c>
      <c r="O278" s="50">
        <f>Q278</f>
        <v>220333792</v>
      </c>
      <c r="P278" s="50">
        <f>Q278/1.12</f>
        <v>196726599.99999997</v>
      </c>
      <c r="Q278" s="180">
        <f>Q277</f>
        <v>220333792</v>
      </c>
      <c r="R278" s="56"/>
      <c r="S278" s="179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7">
        <f>AC278*1.12</f>
        <v>0</v>
      </c>
      <c r="AE278" s="46"/>
      <c r="AF278" s="46">
        <f>AC278+Z278+W278+T278</f>
        <v>0</v>
      </c>
      <c r="AG278" s="46">
        <f>AD278+AA278+X278+U278</f>
        <v>0</v>
      </c>
      <c r="AH278" s="46"/>
      <c r="AI278" s="46">
        <f>AJ278/1.12</f>
        <v>169612.22909821427</v>
      </c>
      <c r="AJ278" s="46">
        <f>AJ277</f>
        <v>189965.69659000001</v>
      </c>
      <c r="AK278" s="46"/>
      <c r="AL278" s="246">
        <f>95696.69659/1.12+(50000000+44269094.53)/1000/1.12</f>
        <v>169612.31349999999</v>
      </c>
      <c r="AM278" s="41">
        <f>AL278*1.12</f>
        <v>189965.79112000001</v>
      </c>
      <c r="AN278" s="46"/>
      <c r="AO278" s="44">
        <f>AO277</f>
        <v>8.4401785716181621E-2</v>
      </c>
      <c r="AP278" s="44">
        <f>AP277</f>
        <v>9.4530000002123415E-2</v>
      </c>
      <c r="AQ278" s="41"/>
      <c r="AR278" s="178">
        <f>IF(AI278=0,"",AL278/AI278)</f>
        <v>1.0000004976161576</v>
      </c>
      <c r="AS278" s="42">
        <f>AL278</f>
        <v>169612.31349999999</v>
      </c>
      <c r="AT278" s="42"/>
      <c r="AU278" s="42"/>
      <c r="AV278" s="44">
        <f>AV277</f>
        <v>169612.31349999999</v>
      </c>
      <c r="AW278" s="44">
        <f>AV278*1.12</f>
        <v>189965.79112000001</v>
      </c>
      <c r="AX278" s="41"/>
      <c r="AY278" s="41"/>
      <c r="AZ278" s="41"/>
      <c r="BA278" s="41"/>
      <c r="BB278" s="41"/>
      <c r="BC278" s="41"/>
      <c r="BD278" s="41"/>
      <c r="BE278" s="41"/>
      <c r="BF278" s="62"/>
      <c r="BG278" s="41"/>
      <c r="BH278" s="41"/>
      <c r="BI278" s="41"/>
      <c r="BJ278" s="41"/>
      <c r="BK278" s="41"/>
      <c r="BL278" s="41"/>
      <c r="BM278" s="39"/>
      <c r="BN278" s="39"/>
      <c r="BO278" s="39"/>
      <c r="BP278" s="39"/>
      <c r="BQ278" s="39"/>
      <c r="BR278" s="39"/>
      <c r="BS278" s="39"/>
      <c r="BT278" s="39"/>
      <c r="BW278" s="188"/>
      <c r="BX278" s="188"/>
    </row>
    <row r="279" spans="1:76" ht="17.25" customHeight="1" x14ac:dyDescent="0.25">
      <c r="A279" s="200"/>
      <c r="B279" s="191"/>
      <c r="C279" s="214" t="s">
        <v>9</v>
      </c>
      <c r="D279" s="214" t="s">
        <v>8</v>
      </c>
      <c r="E279" s="213"/>
      <c r="F279" s="213">
        <f>E279*1.12</f>
        <v>0</v>
      </c>
      <c r="G279" s="197"/>
      <c r="H279" s="196"/>
      <c r="I279" s="212"/>
      <c r="J279" s="212">
        <f>I279*1.12</f>
        <v>0</v>
      </c>
      <c r="K279" s="228" t="s">
        <v>62</v>
      </c>
      <c r="L279" s="224" t="s">
        <v>61</v>
      </c>
      <c r="M279" s="211" t="s">
        <v>13</v>
      </c>
      <c r="N279" s="210">
        <f>P279</f>
        <v>40293467.999999993</v>
      </c>
      <c r="O279" s="210">
        <f>Q279</f>
        <v>45128684.159999996</v>
      </c>
      <c r="P279" s="210">
        <f>Q279/1.12</f>
        <v>40293467.999999993</v>
      </c>
      <c r="Q279" s="209">
        <v>45128684.159999996</v>
      </c>
      <c r="R279" s="73" t="s">
        <v>53</v>
      </c>
      <c r="S279" s="208">
        <v>17</v>
      </c>
      <c r="T279" s="206"/>
      <c r="U279" s="206"/>
      <c r="V279" s="206"/>
      <c r="W279" s="206"/>
      <c r="X279" s="206"/>
      <c r="Y279" s="206"/>
      <c r="Z279" s="206"/>
      <c r="AA279" s="206"/>
      <c r="AB279" s="206"/>
      <c r="AC279" s="206">
        <f>33853+19725+1</f>
        <v>53579</v>
      </c>
      <c r="AD279" s="207">
        <f>AC279*1.12</f>
        <v>60008.480000000003</v>
      </c>
      <c r="AE279" s="206">
        <f>10+7</f>
        <v>17</v>
      </c>
      <c r="AF279" s="206">
        <f>Z279+AC279+W279+T279</f>
        <v>53579</v>
      </c>
      <c r="AG279" s="206">
        <f>AA279+AD279+X279+U279</f>
        <v>60008.480000000003</v>
      </c>
      <c r="AH279" s="206">
        <f>AB279+AE279+Y279+V279</f>
        <v>17</v>
      </c>
      <c r="AI279" s="206"/>
      <c r="AJ279" s="206"/>
      <c r="AK279" s="206"/>
      <c r="AL279" s="206"/>
      <c r="AM279" s="203">
        <f>AL279*1.12</f>
        <v>0</v>
      </c>
      <c r="AN279" s="206"/>
      <c r="AO279" s="203"/>
      <c r="AP279" s="203"/>
      <c r="AQ279" s="203"/>
      <c r="AR279" s="205" t="str">
        <f>IF(AI279=0,"",AL279/AI279)</f>
        <v/>
      </c>
      <c r="AS279" s="204"/>
      <c r="AT279" s="204"/>
      <c r="AU279" s="204"/>
      <c r="AV279" s="203"/>
      <c r="AW279" s="203">
        <f>AV279*1.12</f>
        <v>0</v>
      </c>
      <c r="AX279" s="203"/>
      <c r="AY279" s="203"/>
      <c r="AZ279" s="203"/>
      <c r="BA279" s="203"/>
      <c r="BB279" s="203"/>
      <c r="BC279" s="203"/>
      <c r="BD279" s="203"/>
      <c r="BE279" s="203"/>
      <c r="BF279" s="203"/>
      <c r="BG279" s="203"/>
      <c r="BH279" s="203"/>
      <c r="BI279" s="203"/>
      <c r="BJ279" s="203"/>
      <c r="BK279" s="203"/>
      <c r="BL279" s="203"/>
      <c r="BM279" s="202"/>
      <c r="BN279" s="202"/>
      <c r="BO279" s="202"/>
      <c r="BP279" s="202"/>
      <c r="BQ279" s="202"/>
      <c r="BR279" s="202"/>
      <c r="BS279" s="202"/>
      <c r="BT279" s="202"/>
      <c r="BU279" s="201"/>
      <c r="BV279" s="201"/>
      <c r="BW279" s="188"/>
      <c r="BX279" s="188"/>
    </row>
    <row r="280" spans="1:76" ht="17.25" customHeight="1" x14ac:dyDescent="0.25">
      <c r="A280" s="200"/>
      <c r="B280" s="191"/>
      <c r="C280" s="199" t="s">
        <v>6</v>
      </c>
      <c r="D280" s="199" t="s">
        <v>26</v>
      </c>
      <c r="E280" s="198"/>
      <c r="F280" s="198">
        <f>E280*1.12</f>
        <v>0</v>
      </c>
      <c r="G280" s="197"/>
      <c r="H280" s="196"/>
      <c r="I280" s="195"/>
      <c r="J280" s="195">
        <f>I280*1.12</f>
        <v>0</v>
      </c>
      <c r="K280" s="227"/>
      <c r="L280" s="222"/>
      <c r="M280" s="193"/>
      <c r="N280" s="50">
        <f>P280</f>
        <v>40293467.999999993</v>
      </c>
      <c r="O280" s="50">
        <f>Q280</f>
        <v>45128684.159999996</v>
      </c>
      <c r="P280" s="51">
        <f>Q280/1.12</f>
        <v>40293467.999999993</v>
      </c>
      <c r="Q280" s="192">
        <f>Q279</f>
        <v>45128684.159999996</v>
      </c>
      <c r="R280" s="191"/>
      <c r="S280" s="190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126">
        <f>AC280*1.12</f>
        <v>0</v>
      </c>
      <c r="AE280" s="66"/>
      <c r="AF280" s="66">
        <f>AC280+Z280+W280+T280</f>
        <v>0</v>
      </c>
      <c r="AG280" s="66">
        <f>AD280+AA280+X280+U280</f>
        <v>0</v>
      </c>
      <c r="AH280" s="66"/>
      <c r="AI280" s="66">
        <f>AJ280/1.12</f>
        <v>38396.428571428565</v>
      </c>
      <c r="AJ280" s="66">
        <v>43004</v>
      </c>
      <c r="AK280" s="66"/>
      <c r="AL280" s="66">
        <f>AL281</f>
        <v>38396.215375</v>
      </c>
      <c r="AM280" s="62">
        <f>AL280*1.12</f>
        <v>43003.76122</v>
      </c>
      <c r="AN280" s="66"/>
      <c r="AO280" s="64">
        <f>AL280-AI280</f>
        <v>-0.21319642856542487</v>
      </c>
      <c r="AP280" s="64">
        <f>AM280-AJ280</f>
        <v>-0.23877999999967869</v>
      </c>
      <c r="AQ280" s="62"/>
      <c r="AR280" s="189">
        <f>IF(AI280=0,"",AL280/AI280)</f>
        <v>0.99999444749325661</v>
      </c>
      <c r="AS280" s="63">
        <f>AS281</f>
        <v>38396.215375</v>
      </c>
      <c r="AT280" s="63"/>
      <c r="AU280" s="63"/>
      <c r="AV280" s="64">
        <f>AL280</f>
        <v>38396.215375</v>
      </c>
      <c r="AW280" s="64">
        <f>AV280*1.12</f>
        <v>43003.76122</v>
      </c>
      <c r="AX280" s="62"/>
      <c r="AY280" s="62"/>
      <c r="AZ280" s="62"/>
      <c r="BA280" s="62"/>
      <c r="BB280" s="62"/>
      <c r="BC280" s="62"/>
      <c r="BD280" s="62"/>
      <c r="BE280" s="62"/>
      <c r="BF280" s="62"/>
      <c r="BG280" s="62"/>
      <c r="BH280" s="62"/>
      <c r="BI280" s="62"/>
      <c r="BJ280" s="62"/>
      <c r="BK280" s="62"/>
      <c r="BL280" s="62"/>
      <c r="BM280" s="59"/>
      <c r="BN280" s="59"/>
      <c r="BO280" s="59"/>
      <c r="BP280" s="59"/>
      <c r="BQ280" s="59"/>
      <c r="BR280" s="59"/>
      <c r="BS280" s="59"/>
      <c r="BT280" s="59"/>
      <c r="BU280" s="57"/>
      <c r="BV280" s="57"/>
      <c r="BW280" s="188"/>
      <c r="BX280" s="188"/>
    </row>
    <row r="281" spans="1:76" ht="17.25" customHeight="1" x14ac:dyDescent="0.25">
      <c r="A281" s="200"/>
      <c r="B281" s="191"/>
      <c r="C281" s="187" t="s">
        <v>6</v>
      </c>
      <c r="D281" s="187" t="s">
        <v>5</v>
      </c>
      <c r="E281" s="186"/>
      <c r="F281" s="186">
        <f>E281*1.12</f>
        <v>0</v>
      </c>
      <c r="G281" s="197"/>
      <c r="H281" s="196"/>
      <c r="I281" s="183"/>
      <c r="J281" s="183">
        <f>I281*1.12</f>
        <v>0</v>
      </c>
      <c r="K281" s="226"/>
      <c r="L281" s="220"/>
      <c r="M281" s="181"/>
      <c r="N281" s="50">
        <f>P281</f>
        <v>40293467.999999993</v>
      </c>
      <c r="O281" s="50">
        <f>Q281</f>
        <v>45128684.159999996</v>
      </c>
      <c r="P281" s="50">
        <f>Q281/1.12</f>
        <v>40293467.999999993</v>
      </c>
      <c r="Q281" s="180">
        <f>Q280</f>
        <v>45128684.159999996</v>
      </c>
      <c r="R281" s="56"/>
      <c r="S281" s="179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7">
        <f>AC281*1.12</f>
        <v>0</v>
      </c>
      <c r="AE281" s="46"/>
      <c r="AF281" s="46">
        <f>AC281+Z281+W281+T281</f>
        <v>0</v>
      </c>
      <c r="AG281" s="46">
        <f>AD281+AA281+X281+U281</f>
        <v>0</v>
      </c>
      <c r="AH281" s="46"/>
      <c r="AI281" s="46">
        <f>AJ281/1.12</f>
        <v>38396.428571428565</v>
      </c>
      <c r="AJ281" s="46">
        <f>AJ280</f>
        <v>43004</v>
      </c>
      <c r="AK281" s="46"/>
      <c r="AL281" s="246">
        <f>26468.24858/1.12+16535.51264/1.12</f>
        <v>38396.215375</v>
      </c>
      <c r="AM281" s="41">
        <f>AL281*1.12</f>
        <v>43003.76122</v>
      </c>
      <c r="AN281" s="46"/>
      <c r="AO281" s="44">
        <f>AO280</f>
        <v>-0.21319642856542487</v>
      </c>
      <c r="AP281" s="44">
        <f>AP280</f>
        <v>-0.23877999999967869</v>
      </c>
      <c r="AQ281" s="41"/>
      <c r="AR281" s="178">
        <f>IF(AI281=0,"",AL281/AI281)</f>
        <v>0.99999444749325661</v>
      </c>
      <c r="AS281" s="42">
        <f>AL281</f>
        <v>38396.215375</v>
      </c>
      <c r="AT281" s="42"/>
      <c r="AU281" s="42"/>
      <c r="AV281" s="44">
        <f>AV280</f>
        <v>38396.215375</v>
      </c>
      <c r="AW281" s="44">
        <f>AV281*1.12</f>
        <v>43003.76122</v>
      </c>
      <c r="AX281" s="41"/>
      <c r="AY281" s="41"/>
      <c r="AZ281" s="41"/>
      <c r="BA281" s="41"/>
      <c r="BB281" s="41"/>
      <c r="BC281" s="41"/>
      <c r="BD281" s="41"/>
      <c r="BE281" s="41"/>
      <c r="BF281" s="62"/>
      <c r="BG281" s="41"/>
      <c r="BH281" s="41"/>
      <c r="BI281" s="41"/>
      <c r="BJ281" s="41"/>
      <c r="BK281" s="41"/>
      <c r="BL281" s="41"/>
      <c r="BM281" s="39"/>
      <c r="BN281" s="39"/>
      <c r="BO281" s="39"/>
      <c r="BP281" s="39"/>
      <c r="BQ281" s="39"/>
      <c r="BR281" s="39"/>
      <c r="BS281" s="39"/>
      <c r="BT281" s="39"/>
      <c r="BW281" s="188"/>
      <c r="BX281" s="188"/>
    </row>
    <row r="282" spans="1:76" ht="17.25" customHeight="1" x14ac:dyDescent="0.25">
      <c r="A282" s="200"/>
      <c r="B282" s="191"/>
      <c r="C282" s="214" t="s">
        <v>9</v>
      </c>
      <c r="D282" s="214" t="s">
        <v>8</v>
      </c>
      <c r="E282" s="213"/>
      <c r="F282" s="213">
        <f>E282*1.12</f>
        <v>0</v>
      </c>
      <c r="G282" s="197"/>
      <c r="H282" s="196"/>
      <c r="I282" s="212"/>
      <c r="J282" s="212">
        <f>I282*1.12</f>
        <v>0</v>
      </c>
      <c r="K282" s="228" t="s">
        <v>50</v>
      </c>
      <c r="L282" s="224" t="s">
        <v>60</v>
      </c>
      <c r="M282" s="211" t="s">
        <v>13</v>
      </c>
      <c r="N282" s="210">
        <f>P282</f>
        <v>40291699.999999993</v>
      </c>
      <c r="O282" s="210">
        <f>Q282</f>
        <v>45126704</v>
      </c>
      <c r="P282" s="210">
        <f>Q282/1.12</f>
        <v>40291699.999999993</v>
      </c>
      <c r="Q282" s="209">
        <v>45126704</v>
      </c>
      <c r="R282" s="73" t="s">
        <v>53</v>
      </c>
      <c r="S282" s="208">
        <v>17</v>
      </c>
      <c r="T282" s="206"/>
      <c r="U282" s="206"/>
      <c r="V282" s="206"/>
      <c r="W282" s="206"/>
      <c r="X282" s="206"/>
      <c r="Y282" s="206"/>
      <c r="Z282" s="206"/>
      <c r="AA282" s="206"/>
      <c r="AB282" s="206"/>
      <c r="AC282" s="206">
        <f>37563+18726</f>
        <v>56289</v>
      </c>
      <c r="AD282" s="207">
        <f>AC282*1.12</f>
        <v>63043.680000000008</v>
      </c>
      <c r="AE282" s="206">
        <f>12+5</f>
        <v>17</v>
      </c>
      <c r="AF282" s="206">
        <f>Z282+AC282+W282+T282</f>
        <v>56289</v>
      </c>
      <c r="AG282" s="206">
        <f>AA282+AD282+X282+U282</f>
        <v>63043.680000000008</v>
      </c>
      <c r="AH282" s="206">
        <f>AB282+AE282+Y282+V282</f>
        <v>17</v>
      </c>
      <c r="AI282" s="206"/>
      <c r="AJ282" s="206"/>
      <c r="AK282" s="206"/>
      <c r="AL282" s="206"/>
      <c r="AM282" s="203">
        <f>AL282*1.12</f>
        <v>0</v>
      </c>
      <c r="AN282" s="206"/>
      <c r="AO282" s="203"/>
      <c r="AP282" s="203"/>
      <c r="AQ282" s="203"/>
      <c r="AR282" s="205" t="str">
        <f>IF(AI282=0,"",AL282/AI282)</f>
        <v/>
      </c>
      <c r="AS282" s="204"/>
      <c r="AT282" s="204"/>
      <c r="AU282" s="204"/>
      <c r="AV282" s="203"/>
      <c r="AW282" s="203">
        <f>AV282*1.12</f>
        <v>0</v>
      </c>
      <c r="AX282" s="203"/>
      <c r="AY282" s="203"/>
      <c r="AZ282" s="203"/>
      <c r="BA282" s="203"/>
      <c r="BB282" s="203"/>
      <c r="BC282" s="203"/>
      <c r="BD282" s="203"/>
      <c r="BE282" s="203"/>
      <c r="BF282" s="203"/>
      <c r="BG282" s="203"/>
      <c r="BH282" s="203"/>
      <c r="BI282" s="203"/>
      <c r="BJ282" s="203"/>
      <c r="BK282" s="203"/>
      <c r="BL282" s="203"/>
      <c r="BM282" s="202"/>
      <c r="BN282" s="202"/>
      <c r="BO282" s="202"/>
      <c r="BP282" s="202"/>
      <c r="BQ282" s="202"/>
      <c r="BR282" s="202"/>
      <c r="BS282" s="202"/>
      <c r="BT282" s="202"/>
      <c r="BU282" s="201"/>
      <c r="BV282" s="201"/>
      <c r="BW282" s="188"/>
      <c r="BX282" s="188"/>
    </row>
    <row r="283" spans="1:76" ht="17.25" customHeight="1" x14ac:dyDescent="0.25">
      <c r="A283" s="200"/>
      <c r="B283" s="191"/>
      <c r="C283" s="199" t="s">
        <v>6</v>
      </c>
      <c r="D283" s="199" t="s">
        <v>26</v>
      </c>
      <c r="E283" s="198"/>
      <c r="F283" s="198">
        <f>E283*1.12</f>
        <v>0</v>
      </c>
      <c r="G283" s="197"/>
      <c r="H283" s="196"/>
      <c r="I283" s="195"/>
      <c r="J283" s="195">
        <f>I283*1.12</f>
        <v>0</v>
      </c>
      <c r="K283" s="227"/>
      <c r="L283" s="222"/>
      <c r="M283" s="193"/>
      <c r="N283" s="50">
        <f>P283</f>
        <v>40291699.999999993</v>
      </c>
      <c r="O283" s="50">
        <f>Q283</f>
        <v>45126704</v>
      </c>
      <c r="P283" s="51">
        <f>Q283/1.12</f>
        <v>40291699.999999993</v>
      </c>
      <c r="Q283" s="192">
        <f>Q282</f>
        <v>45126704</v>
      </c>
      <c r="R283" s="191"/>
      <c r="S283" s="190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126">
        <f>AC283*1.12</f>
        <v>0</v>
      </c>
      <c r="AE283" s="66"/>
      <c r="AF283" s="66">
        <f>AC283+Z283+W283+T283</f>
        <v>0</v>
      </c>
      <c r="AG283" s="66">
        <f>AD283+AA283+X283+U283</f>
        <v>0</v>
      </c>
      <c r="AH283" s="66"/>
      <c r="AI283" s="66">
        <f>AJ283/1.12</f>
        <v>39815.178571428565</v>
      </c>
      <c r="AJ283" s="66">
        <v>44593</v>
      </c>
      <c r="AK283" s="66"/>
      <c r="AL283" s="66">
        <f>AL284</f>
        <v>39814.972196428571</v>
      </c>
      <c r="AM283" s="62">
        <f>AL283*1.12</f>
        <v>44592.768860000004</v>
      </c>
      <c r="AN283" s="66"/>
      <c r="AO283" s="64">
        <f>AL283-AI283</f>
        <v>-0.20637499999429565</v>
      </c>
      <c r="AP283" s="64">
        <f>AM283-AJ283</f>
        <v>-0.23113999999623047</v>
      </c>
      <c r="AQ283" s="62"/>
      <c r="AR283" s="189">
        <f>IF(AI283=0,"",AL283/AI283)</f>
        <v>0.99999481667526313</v>
      </c>
      <c r="AS283" s="63">
        <f>AS284</f>
        <v>39814.972196428571</v>
      </c>
      <c r="AT283" s="63"/>
      <c r="AU283" s="63"/>
      <c r="AV283" s="64">
        <f>AL283</f>
        <v>39814.972196428571</v>
      </c>
      <c r="AW283" s="64">
        <f>AV283*1.12</f>
        <v>44592.768860000004</v>
      </c>
      <c r="AX283" s="62"/>
      <c r="AY283" s="62"/>
      <c r="AZ283" s="62"/>
      <c r="BA283" s="62"/>
      <c r="BB283" s="62"/>
      <c r="BC283" s="62"/>
      <c r="BD283" s="62"/>
      <c r="BE283" s="62"/>
      <c r="BF283" s="62"/>
      <c r="BG283" s="62"/>
      <c r="BH283" s="62"/>
      <c r="BI283" s="62"/>
      <c r="BJ283" s="62"/>
      <c r="BK283" s="62"/>
      <c r="BL283" s="62"/>
      <c r="BM283" s="59"/>
      <c r="BN283" s="59"/>
      <c r="BO283" s="59"/>
      <c r="BP283" s="59"/>
      <c r="BQ283" s="59"/>
      <c r="BR283" s="59"/>
      <c r="BS283" s="59"/>
      <c r="BT283" s="59"/>
      <c r="BU283" s="57"/>
      <c r="BV283" s="57"/>
      <c r="BW283" s="188"/>
      <c r="BX283" s="188"/>
    </row>
    <row r="284" spans="1:76" ht="17.25" customHeight="1" x14ac:dyDescent="0.25">
      <c r="A284" s="200"/>
      <c r="B284" s="191"/>
      <c r="C284" s="187" t="s">
        <v>6</v>
      </c>
      <c r="D284" s="187" t="s">
        <v>5</v>
      </c>
      <c r="E284" s="186"/>
      <c r="F284" s="186">
        <f>E284*1.12</f>
        <v>0</v>
      </c>
      <c r="G284" s="197"/>
      <c r="H284" s="196"/>
      <c r="I284" s="183"/>
      <c r="J284" s="183">
        <f>I284*1.12</f>
        <v>0</v>
      </c>
      <c r="K284" s="226"/>
      <c r="L284" s="220"/>
      <c r="M284" s="181"/>
      <c r="N284" s="50">
        <f>P284</f>
        <v>40291699.999999993</v>
      </c>
      <c r="O284" s="50">
        <f>Q284</f>
        <v>45126704</v>
      </c>
      <c r="P284" s="50">
        <f>Q284/1.12</f>
        <v>40291699.999999993</v>
      </c>
      <c r="Q284" s="180">
        <f>Q283</f>
        <v>45126704</v>
      </c>
      <c r="R284" s="56"/>
      <c r="S284" s="179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7">
        <f>AC284*1.12</f>
        <v>0</v>
      </c>
      <c r="AE284" s="46"/>
      <c r="AF284" s="46">
        <f>AC284+Z284+W284+T284</f>
        <v>0</v>
      </c>
      <c r="AG284" s="46">
        <f>AD284+AA284+X284+U284</f>
        <v>0</v>
      </c>
      <c r="AH284" s="46"/>
      <c r="AI284" s="46">
        <f>AJ284/1.12</f>
        <v>39815.178571428565</v>
      </c>
      <c r="AJ284" s="46">
        <f>AJ283</f>
        <v>44593</v>
      </c>
      <c r="AK284" s="46"/>
      <c r="AL284" s="246">
        <f>29239.76966/1.12+15352.9992/1.12</f>
        <v>39814.972196428571</v>
      </c>
      <c r="AM284" s="41">
        <f>AL284*1.12</f>
        <v>44592.768860000004</v>
      </c>
      <c r="AN284" s="46"/>
      <c r="AO284" s="44">
        <f>AO283</f>
        <v>-0.20637499999429565</v>
      </c>
      <c r="AP284" s="44">
        <f>AP283</f>
        <v>-0.23113999999623047</v>
      </c>
      <c r="AQ284" s="41"/>
      <c r="AR284" s="178">
        <f>IF(AI284=0,"",AL284/AI284)</f>
        <v>0.99999481667526313</v>
      </c>
      <c r="AS284" s="42">
        <f>AL284</f>
        <v>39814.972196428571</v>
      </c>
      <c r="AT284" s="42"/>
      <c r="AU284" s="42"/>
      <c r="AV284" s="44">
        <f>AV283</f>
        <v>39814.972196428571</v>
      </c>
      <c r="AW284" s="44">
        <f>AV284*1.12</f>
        <v>44592.768860000004</v>
      </c>
      <c r="AX284" s="41"/>
      <c r="AY284" s="41"/>
      <c r="AZ284" s="41"/>
      <c r="BA284" s="41"/>
      <c r="BB284" s="41"/>
      <c r="BC284" s="41"/>
      <c r="BD284" s="41"/>
      <c r="BE284" s="41"/>
      <c r="BF284" s="62"/>
      <c r="BG284" s="41"/>
      <c r="BH284" s="41"/>
      <c r="BI284" s="41"/>
      <c r="BJ284" s="41"/>
      <c r="BK284" s="41"/>
      <c r="BL284" s="41"/>
      <c r="BM284" s="39"/>
      <c r="BN284" s="39"/>
      <c r="BO284" s="39"/>
      <c r="BP284" s="39"/>
      <c r="BQ284" s="39"/>
      <c r="BR284" s="39"/>
      <c r="BS284" s="39"/>
      <c r="BT284" s="39"/>
      <c r="BW284" s="188"/>
      <c r="BX284" s="188"/>
    </row>
    <row r="285" spans="1:76" ht="17.25" customHeight="1" x14ac:dyDescent="0.25">
      <c r="A285" s="200"/>
      <c r="B285" s="191"/>
      <c r="C285" s="214" t="s">
        <v>9</v>
      </c>
      <c r="D285" s="214" t="s">
        <v>8</v>
      </c>
      <c r="E285" s="213"/>
      <c r="F285" s="213">
        <f>E285*1.12</f>
        <v>0</v>
      </c>
      <c r="G285" s="197"/>
      <c r="H285" s="196"/>
      <c r="I285" s="212"/>
      <c r="J285" s="212">
        <f>I285*1.12</f>
        <v>0</v>
      </c>
      <c r="K285" s="228" t="s">
        <v>47</v>
      </c>
      <c r="L285" s="224" t="s">
        <v>59</v>
      </c>
      <c r="M285" s="211" t="s">
        <v>13</v>
      </c>
      <c r="N285" s="210">
        <f>P285</f>
        <v>40289999.999999993</v>
      </c>
      <c r="O285" s="210">
        <f>Q285</f>
        <v>45124800</v>
      </c>
      <c r="P285" s="210">
        <f>Q285/1.12</f>
        <v>40289999.999999993</v>
      </c>
      <c r="Q285" s="209">
        <v>45124800</v>
      </c>
      <c r="R285" s="73" t="s">
        <v>53</v>
      </c>
      <c r="S285" s="208">
        <v>17</v>
      </c>
      <c r="T285" s="206"/>
      <c r="U285" s="206"/>
      <c r="V285" s="206"/>
      <c r="W285" s="206"/>
      <c r="X285" s="206"/>
      <c r="Y285" s="206"/>
      <c r="Z285" s="206"/>
      <c r="AA285" s="206"/>
      <c r="AB285" s="206"/>
      <c r="AC285" s="206">
        <f>30861+29876</f>
        <v>60737</v>
      </c>
      <c r="AD285" s="207">
        <f>AC285*1.12</f>
        <v>68025.440000000002</v>
      </c>
      <c r="AE285" s="206">
        <f>9+8</f>
        <v>17</v>
      </c>
      <c r="AF285" s="206">
        <f>Z285+AC285+W285+T285</f>
        <v>60737</v>
      </c>
      <c r="AG285" s="206">
        <f>AA285+AD285+X285+U285</f>
        <v>68025.440000000002</v>
      </c>
      <c r="AH285" s="206">
        <f>AB285+AE285+Y285+V285</f>
        <v>17</v>
      </c>
      <c r="AI285" s="206"/>
      <c r="AJ285" s="206"/>
      <c r="AK285" s="206"/>
      <c r="AL285" s="206"/>
      <c r="AM285" s="203">
        <f>AL285*1.12</f>
        <v>0</v>
      </c>
      <c r="AN285" s="206"/>
      <c r="AO285" s="203"/>
      <c r="AP285" s="203"/>
      <c r="AQ285" s="203"/>
      <c r="AR285" s="205" t="str">
        <f>IF(AI285=0,"",AL285/AI285)</f>
        <v/>
      </c>
      <c r="AS285" s="204"/>
      <c r="AT285" s="204"/>
      <c r="AU285" s="204"/>
      <c r="AV285" s="203"/>
      <c r="AW285" s="203">
        <f>AV285*1.12</f>
        <v>0</v>
      </c>
      <c r="AX285" s="203"/>
      <c r="AY285" s="203"/>
      <c r="AZ285" s="203"/>
      <c r="BA285" s="203"/>
      <c r="BB285" s="203"/>
      <c r="BC285" s="203"/>
      <c r="BD285" s="203"/>
      <c r="BE285" s="203"/>
      <c r="BF285" s="203"/>
      <c r="BG285" s="203"/>
      <c r="BH285" s="203"/>
      <c r="BI285" s="203"/>
      <c r="BJ285" s="203"/>
      <c r="BK285" s="203"/>
      <c r="BL285" s="203"/>
      <c r="BM285" s="202"/>
      <c r="BN285" s="202"/>
      <c r="BO285" s="202"/>
      <c r="BP285" s="202"/>
      <c r="BQ285" s="202"/>
      <c r="BR285" s="202"/>
      <c r="BS285" s="202"/>
      <c r="BT285" s="202"/>
      <c r="BU285" s="201"/>
      <c r="BV285" s="201"/>
      <c r="BW285" s="188"/>
      <c r="BX285" s="188"/>
    </row>
    <row r="286" spans="1:76" ht="17.25" customHeight="1" x14ac:dyDescent="0.25">
      <c r="A286" s="200"/>
      <c r="B286" s="191"/>
      <c r="C286" s="199" t="s">
        <v>6</v>
      </c>
      <c r="D286" s="199" t="s">
        <v>26</v>
      </c>
      <c r="E286" s="198"/>
      <c r="F286" s="198">
        <f>E286*1.12</f>
        <v>0</v>
      </c>
      <c r="G286" s="197"/>
      <c r="H286" s="196"/>
      <c r="I286" s="195"/>
      <c r="J286" s="195">
        <f>I286*1.12</f>
        <v>0</v>
      </c>
      <c r="K286" s="227"/>
      <c r="L286" s="222"/>
      <c r="M286" s="193"/>
      <c r="N286" s="50">
        <f>P286</f>
        <v>40289999.999999993</v>
      </c>
      <c r="O286" s="50">
        <f>Q286</f>
        <v>45124800</v>
      </c>
      <c r="P286" s="51">
        <f>Q286/1.12</f>
        <v>40289999.999999993</v>
      </c>
      <c r="Q286" s="192">
        <f>Q285</f>
        <v>45124800</v>
      </c>
      <c r="R286" s="191"/>
      <c r="S286" s="190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126">
        <f>AC286*1.12</f>
        <v>0</v>
      </c>
      <c r="AE286" s="66"/>
      <c r="AF286" s="66">
        <f>AC286+Z286+W286+T286</f>
        <v>0</v>
      </c>
      <c r="AG286" s="66">
        <f>AD286+AA286+X286+U286</f>
        <v>0</v>
      </c>
      <c r="AH286" s="66"/>
      <c r="AI286" s="66">
        <f>AJ286/1.12</f>
        <v>39164.28571428571</v>
      </c>
      <c r="AJ286" s="66">
        <v>43864</v>
      </c>
      <c r="AK286" s="66"/>
      <c r="AL286" s="66">
        <f>AL287</f>
        <v>39164.447991071429</v>
      </c>
      <c r="AM286" s="62">
        <f>AL286*1.12</f>
        <v>43864.181750000003</v>
      </c>
      <c r="AN286" s="66"/>
      <c r="AO286" s="64">
        <f>AL286-AI286</f>
        <v>0.16227678571885917</v>
      </c>
      <c r="AP286" s="64">
        <f>AM286-AJ286</f>
        <v>0.18175000000337604</v>
      </c>
      <c r="AQ286" s="62"/>
      <c r="AR286" s="189">
        <f>IF(AI286=0,"",AL286/AI286)</f>
        <v>1.0000041434889659</v>
      </c>
      <c r="AS286" s="63">
        <f>AS287</f>
        <v>39164.447991071429</v>
      </c>
      <c r="AT286" s="63"/>
      <c r="AU286" s="63"/>
      <c r="AV286" s="64">
        <f>AL286</f>
        <v>39164.447991071429</v>
      </c>
      <c r="AW286" s="64">
        <f>AV286*1.12</f>
        <v>43864.181750000003</v>
      </c>
      <c r="AX286" s="62"/>
      <c r="AY286" s="62"/>
      <c r="AZ286" s="62"/>
      <c r="BA286" s="62"/>
      <c r="BB286" s="62"/>
      <c r="BC286" s="62"/>
      <c r="BD286" s="62"/>
      <c r="BE286" s="62"/>
      <c r="BF286" s="62"/>
      <c r="BG286" s="62"/>
      <c r="BH286" s="62"/>
      <c r="BI286" s="62"/>
      <c r="BJ286" s="62"/>
      <c r="BK286" s="62"/>
      <c r="BL286" s="62"/>
      <c r="BM286" s="59"/>
      <c r="BN286" s="59"/>
      <c r="BO286" s="59"/>
      <c r="BP286" s="59"/>
      <c r="BQ286" s="59"/>
      <c r="BR286" s="59"/>
      <c r="BS286" s="59"/>
      <c r="BT286" s="59"/>
      <c r="BU286" s="57"/>
      <c r="BV286" s="57"/>
      <c r="BW286" s="188"/>
      <c r="BX286" s="188"/>
    </row>
    <row r="287" spans="1:76" ht="17.25" customHeight="1" x14ac:dyDescent="0.25">
      <c r="A287" s="200"/>
      <c r="B287" s="191"/>
      <c r="C287" s="187" t="s">
        <v>6</v>
      </c>
      <c r="D287" s="187" t="s">
        <v>5</v>
      </c>
      <c r="E287" s="186"/>
      <c r="F287" s="186">
        <f>E287*1.12</f>
        <v>0</v>
      </c>
      <c r="G287" s="197"/>
      <c r="H287" s="196"/>
      <c r="I287" s="183"/>
      <c r="J287" s="183">
        <f>I287*1.12</f>
        <v>0</v>
      </c>
      <c r="K287" s="226"/>
      <c r="L287" s="220"/>
      <c r="M287" s="181"/>
      <c r="N287" s="50">
        <f>P287</f>
        <v>40289999.999999993</v>
      </c>
      <c r="O287" s="50">
        <f>Q287</f>
        <v>45124800</v>
      </c>
      <c r="P287" s="50">
        <f>Q287/1.12</f>
        <v>40289999.999999993</v>
      </c>
      <c r="Q287" s="180">
        <f>Q286</f>
        <v>45124800</v>
      </c>
      <c r="R287" s="56"/>
      <c r="S287" s="179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7">
        <f>AC287*1.12</f>
        <v>0</v>
      </c>
      <c r="AE287" s="46"/>
      <c r="AF287" s="46">
        <f>AC287+Z287+W287+T287</f>
        <v>0</v>
      </c>
      <c r="AG287" s="46">
        <f>AD287+AA287+X287+U287</f>
        <v>0</v>
      </c>
      <c r="AH287" s="46"/>
      <c r="AI287" s="46">
        <f>AJ287/1.12</f>
        <v>39164.28571428571</v>
      </c>
      <c r="AJ287" s="46">
        <f>AJ286</f>
        <v>43864</v>
      </c>
      <c r="AK287" s="46"/>
      <c r="AL287" s="246">
        <f>20899.36951/1.12+22964.81224/1.12</f>
        <v>39164.447991071429</v>
      </c>
      <c r="AM287" s="41">
        <f>AL287*1.12</f>
        <v>43864.181750000003</v>
      </c>
      <c r="AN287" s="46"/>
      <c r="AO287" s="44">
        <f>AO286</f>
        <v>0.16227678571885917</v>
      </c>
      <c r="AP287" s="44">
        <f>AP286</f>
        <v>0.18175000000337604</v>
      </c>
      <c r="AQ287" s="41"/>
      <c r="AR287" s="178">
        <f>IF(AI287=0,"",AL287/AI287)</f>
        <v>1.0000041434889659</v>
      </c>
      <c r="AS287" s="42">
        <f>AL287</f>
        <v>39164.447991071429</v>
      </c>
      <c r="AT287" s="42"/>
      <c r="AU287" s="42"/>
      <c r="AV287" s="44">
        <f>AV286</f>
        <v>39164.447991071429</v>
      </c>
      <c r="AW287" s="44">
        <f>AV287*1.12</f>
        <v>43864.181750000003</v>
      </c>
      <c r="AX287" s="41"/>
      <c r="AY287" s="41"/>
      <c r="AZ287" s="41"/>
      <c r="BA287" s="41"/>
      <c r="BB287" s="41"/>
      <c r="BC287" s="41"/>
      <c r="BD287" s="41"/>
      <c r="BE287" s="41"/>
      <c r="BF287" s="62"/>
      <c r="BG287" s="41"/>
      <c r="BH287" s="41"/>
      <c r="BI287" s="41"/>
      <c r="BJ287" s="41"/>
      <c r="BK287" s="41"/>
      <c r="BL287" s="41"/>
      <c r="BM287" s="39"/>
      <c r="BN287" s="39"/>
      <c r="BO287" s="39"/>
      <c r="BP287" s="39"/>
      <c r="BQ287" s="39"/>
      <c r="BR287" s="39"/>
      <c r="BS287" s="39"/>
      <c r="BT287" s="39"/>
      <c r="BW287" s="188"/>
      <c r="BX287" s="188"/>
    </row>
    <row r="288" spans="1:76" ht="17.25" customHeight="1" x14ac:dyDescent="0.25">
      <c r="A288" s="200"/>
      <c r="B288" s="191"/>
      <c r="C288" s="214" t="s">
        <v>9</v>
      </c>
      <c r="D288" s="214" t="s">
        <v>8</v>
      </c>
      <c r="E288" s="213"/>
      <c r="F288" s="213">
        <f>E288*1.12</f>
        <v>0</v>
      </c>
      <c r="G288" s="197"/>
      <c r="H288" s="196"/>
      <c r="I288" s="212"/>
      <c r="J288" s="212">
        <f>I288*1.12</f>
        <v>0</v>
      </c>
      <c r="K288" s="228" t="s">
        <v>58</v>
      </c>
      <c r="L288" s="224" t="s">
        <v>57</v>
      </c>
      <c r="M288" s="211" t="s">
        <v>13</v>
      </c>
      <c r="N288" s="210">
        <f>P288</f>
        <v>199097220</v>
      </c>
      <c r="O288" s="210">
        <f>Q288</f>
        <v>222988886.40000001</v>
      </c>
      <c r="P288" s="210">
        <f>Q288/1.12</f>
        <v>199097220</v>
      </c>
      <c r="Q288" s="209">
        <v>222988886.40000001</v>
      </c>
      <c r="R288" s="73" t="s">
        <v>53</v>
      </c>
      <c r="S288" s="208">
        <v>84</v>
      </c>
      <c r="T288" s="206"/>
      <c r="U288" s="206"/>
      <c r="V288" s="206"/>
      <c r="W288" s="206"/>
      <c r="X288" s="206"/>
      <c r="Y288" s="206"/>
      <c r="Z288" s="206"/>
      <c r="AA288" s="206"/>
      <c r="AB288" s="206"/>
      <c r="AC288" s="206">
        <f>139514+123948-1</f>
        <v>263461</v>
      </c>
      <c r="AD288" s="207">
        <f>AC288*1.12</f>
        <v>295076.32</v>
      </c>
      <c r="AE288" s="206">
        <f>42+42</f>
        <v>84</v>
      </c>
      <c r="AF288" s="206">
        <f>Z288+AC288+W288+T288</f>
        <v>263461</v>
      </c>
      <c r="AG288" s="206">
        <f>AA288+AD288+X288+U288</f>
        <v>295076.32</v>
      </c>
      <c r="AH288" s="206">
        <f>AB288+AE288+Y288+V288</f>
        <v>84</v>
      </c>
      <c r="AI288" s="206"/>
      <c r="AJ288" s="206"/>
      <c r="AK288" s="206"/>
      <c r="AL288" s="206"/>
      <c r="AM288" s="203">
        <f>AL288*1.12</f>
        <v>0</v>
      </c>
      <c r="AN288" s="206"/>
      <c r="AO288" s="203"/>
      <c r="AP288" s="203"/>
      <c r="AQ288" s="203"/>
      <c r="AR288" s="205" t="str">
        <f>IF(AI288=0,"",AL288/AI288)</f>
        <v/>
      </c>
      <c r="AS288" s="204"/>
      <c r="AT288" s="204"/>
      <c r="AU288" s="204"/>
      <c r="AV288" s="203"/>
      <c r="AW288" s="203">
        <f>AV288*1.12</f>
        <v>0</v>
      </c>
      <c r="AX288" s="203"/>
      <c r="AY288" s="203"/>
      <c r="AZ288" s="203"/>
      <c r="BA288" s="203"/>
      <c r="BB288" s="203"/>
      <c r="BC288" s="203"/>
      <c r="BD288" s="203"/>
      <c r="BE288" s="203"/>
      <c r="BF288" s="203"/>
      <c r="BG288" s="203"/>
      <c r="BH288" s="203"/>
      <c r="BI288" s="203"/>
      <c r="BJ288" s="203"/>
      <c r="BK288" s="203"/>
      <c r="BL288" s="203"/>
      <c r="BM288" s="202"/>
      <c r="BN288" s="202"/>
      <c r="BO288" s="202"/>
      <c r="BP288" s="202"/>
      <c r="BQ288" s="202"/>
      <c r="BR288" s="202"/>
      <c r="BS288" s="202"/>
      <c r="BT288" s="202"/>
      <c r="BU288" s="201"/>
      <c r="BV288" s="201"/>
      <c r="BW288" s="188"/>
      <c r="BX288" s="188"/>
    </row>
    <row r="289" spans="1:76" ht="17.25" customHeight="1" x14ac:dyDescent="0.25">
      <c r="A289" s="200"/>
      <c r="B289" s="191"/>
      <c r="C289" s="199" t="s">
        <v>6</v>
      </c>
      <c r="D289" s="199" t="s">
        <v>26</v>
      </c>
      <c r="E289" s="198"/>
      <c r="F289" s="198">
        <f>E289*1.12</f>
        <v>0</v>
      </c>
      <c r="G289" s="197"/>
      <c r="H289" s="196"/>
      <c r="I289" s="195"/>
      <c r="J289" s="195">
        <f>I289*1.12</f>
        <v>0</v>
      </c>
      <c r="K289" s="227"/>
      <c r="L289" s="222"/>
      <c r="M289" s="193"/>
      <c r="N289" s="50">
        <f>P289</f>
        <v>199097220</v>
      </c>
      <c r="O289" s="50">
        <f>Q289</f>
        <v>222988886.40000001</v>
      </c>
      <c r="P289" s="51">
        <f>Q289/1.12</f>
        <v>199097220</v>
      </c>
      <c r="Q289" s="192">
        <f>Q288</f>
        <v>222988886.40000001</v>
      </c>
      <c r="R289" s="191"/>
      <c r="S289" s="190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126">
        <f>AC289*1.12</f>
        <v>0</v>
      </c>
      <c r="AE289" s="66"/>
      <c r="AF289" s="66">
        <f>AC289+Z289+W289+T289</f>
        <v>0</v>
      </c>
      <c r="AG289" s="66">
        <f>AD289+AA289+X289+U289</f>
        <v>0</v>
      </c>
      <c r="AH289" s="66"/>
      <c r="AI289" s="66">
        <f>AJ289/1.12</f>
        <v>199033.03571428568</v>
      </c>
      <c r="AJ289" s="66">
        <v>222917</v>
      </c>
      <c r="AK289" s="66"/>
      <c r="AL289" s="66">
        <f>AL290</f>
        <v>199032.80795535713</v>
      </c>
      <c r="AM289" s="62">
        <f>AL289*1.12</f>
        <v>222916.74491000001</v>
      </c>
      <c r="AN289" s="66"/>
      <c r="AO289" s="64">
        <f>AL289-AI289</f>
        <v>-0.22775892855133861</v>
      </c>
      <c r="AP289" s="64">
        <f>AM289-AJ289</f>
        <v>-0.25508999999146909</v>
      </c>
      <c r="AQ289" s="62"/>
      <c r="AR289" s="189">
        <f>IF(AI289=0,"",AL289/AI289)</f>
        <v>0.99999885567273927</v>
      </c>
      <c r="AS289" s="63">
        <f>AS290</f>
        <v>199032.80795535713</v>
      </c>
      <c r="AT289" s="63"/>
      <c r="AU289" s="63"/>
      <c r="AV289" s="64">
        <f>AL289</f>
        <v>199032.80795535713</v>
      </c>
      <c r="AW289" s="64">
        <f>AV289*1.12</f>
        <v>222916.74491000001</v>
      </c>
      <c r="AX289" s="62"/>
      <c r="AY289" s="62"/>
      <c r="AZ289" s="62"/>
      <c r="BA289" s="62"/>
      <c r="BB289" s="62"/>
      <c r="BC289" s="62"/>
      <c r="BD289" s="62"/>
      <c r="BE289" s="62"/>
      <c r="BF289" s="62"/>
      <c r="BG289" s="62"/>
      <c r="BH289" s="62"/>
      <c r="BI289" s="62"/>
      <c r="BJ289" s="62"/>
      <c r="BK289" s="62"/>
      <c r="BL289" s="62"/>
      <c r="BM289" s="59"/>
      <c r="BN289" s="59"/>
      <c r="BO289" s="59"/>
      <c r="BP289" s="59"/>
      <c r="BQ289" s="59"/>
      <c r="BR289" s="59"/>
      <c r="BS289" s="59"/>
      <c r="BT289" s="59"/>
      <c r="BU289" s="57"/>
      <c r="BV289" s="57"/>
      <c r="BW289" s="188"/>
      <c r="BX289" s="188"/>
    </row>
    <row r="290" spans="1:76" ht="17.25" customHeight="1" x14ac:dyDescent="0.25">
      <c r="A290" s="200"/>
      <c r="B290" s="191"/>
      <c r="C290" s="187" t="s">
        <v>6</v>
      </c>
      <c r="D290" s="187" t="s">
        <v>5</v>
      </c>
      <c r="E290" s="186"/>
      <c r="F290" s="186">
        <f>E290*1.12</f>
        <v>0</v>
      </c>
      <c r="G290" s="197"/>
      <c r="H290" s="196"/>
      <c r="I290" s="183"/>
      <c r="J290" s="183">
        <f>I290*1.12</f>
        <v>0</v>
      </c>
      <c r="K290" s="226"/>
      <c r="L290" s="220"/>
      <c r="M290" s="181"/>
      <c r="N290" s="50">
        <f>P290</f>
        <v>199097220</v>
      </c>
      <c r="O290" s="50">
        <f>Q290</f>
        <v>222988886.40000001</v>
      </c>
      <c r="P290" s="50">
        <f>Q290/1.12</f>
        <v>199097220</v>
      </c>
      <c r="Q290" s="180">
        <f>Q289</f>
        <v>222988886.40000001</v>
      </c>
      <c r="R290" s="56"/>
      <c r="S290" s="179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7">
        <f>AC290*1.12</f>
        <v>0</v>
      </c>
      <c r="AE290" s="46"/>
      <c r="AF290" s="46">
        <f>AC290+Z290+W290+T290</f>
        <v>0</v>
      </c>
      <c r="AG290" s="46">
        <f>AD290+AA290+X290+U290</f>
        <v>0</v>
      </c>
      <c r="AH290" s="46"/>
      <c r="AI290" s="46">
        <f>AJ290/1.12</f>
        <v>199033.03571428568</v>
      </c>
      <c r="AJ290" s="46">
        <f>AJ289</f>
        <v>222917</v>
      </c>
      <c r="AK290" s="46"/>
      <c r="AL290" s="246">
        <f>111518.25814/1.12+111398.48677/1.12</f>
        <v>199032.80795535713</v>
      </c>
      <c r="AM290" s="41">
        <f>AL290*1.12</f>
        <v>222916.74491000001</v>
      </c>
      <c r="AN290" s="46"/>
      <c r="AO290" s="44">
        <f>AO289</f>
        <v>-0.22775892855133861</v>
      </c>
      <c r="AP290" s="44">
        <f>AP289</f>
        <v>-0.25508999999146909</v>
      </c>
      <c r="AQ290" s="41"/>
      <c r="AR290" s="178">
        <f>IF(AI290=0,"",AL290/AI290)</f>
        <v>0.99999885567273927</v>
      </c>
      <c r="AS290" s="42">
        <f>AL290</f>
        <v>199032.80795535713</v>
      </c>
      <c r="AT290" s="42"/>
      <c r="AU290" s="42"/>
      <c r="AV290" s="44">
        <f>AV289</f>
        <v>199032.80795535713</v>
      </c>
      <c r="AW290" s="44">
        <f>AV290*1.12</f>
        <v>222916.74491000001</v>
      </c>
      <c r="AX290" s="41"/>
      <c r="AY290" s="41"/>
      <c r="AZ290" s="41"/>
      <c r="BA290" s="41"/>
      <c r="BB290" s="41"/>
      <c r="BC290" s="41"/>
      <c r="BD290" s="41"/>
      <c r="BE290" s="41"/>
      <c r="BF290" s="62"/>
      <c r="BG290" s="41"/>
      <c r="BH290" s="41"/>
      <c r="BI290" s="41"/>
      <c r="BJ290" s="41"/>
      <c r="BK290" s="41"/>
      <c r="BL290" s="41"/>
      <c r="BM290" s="39"/>
      <c r="BN290" s="39"/>
      <c r="BO290" s="39"/>
      <c r="BP290" s="39"/>
      <c r="BQ290" s="39"/>
      <c r="BR290" s="39"/>
      <c r="BS290" s="39"/>
      <c r="BT290" s="39"/>
      <c r="BW290" s="188"/>
      <c r="BX290" s="188"/>
    </row>
    <row r="291" spans="1:76" ht="17.25" customHeight="1" x14ac:dyDescent="0.25">
      <c r="A291" s="200"/>
      <c r="B291" s="191"/>
      <c r="C291" s="214" t="s">
        <v>9</v>
      </c>
      <c r="D291" s="214" t="s">
        <v>8</v>
      </c>
      <c r="E291" s="213"/>
      <c r="F291" s="213">
        <f>E291*1.12</f>
        <v>0</v>
      </c>
      <c r="G291" s="197"/>
      <c r="H291" s="196"/>
      <c r="I291" s="212"/>
      <c r="J291" s="212">
        <f>I291*1.12</f>
        <v>0</v>
      </c>
      <c r="K291" s="228" t="s">
        <v>37</v>
      </c>
      <c r="L291" s="224" t="s">
        <v>56</v>
      </c>
      <c r="M291" s="211" t="s">
        <v>13</v>
      </c>
      <c r="N291" s="210">
        <f>P291</f>
        <v>196727015</v>
      </c>
      <c r="O291" s="210">
        <f>Q291</f>
        <v>220334256.80000001</v>
      </c>
      <c r="P291" s="210">
        <f>Q291/1.12</f>
        <v>196727015</v>
      </c>
      <c r="Q291" s="209">
        <v>220334256.80000001</v>
      </c>
      <c r="R291" s="73" t="s">
        <v>53</v>
      </c>
      <c r="S291" s="208">
        <v>83</v>
      </c>
      <c r="T291" s="206"/>
      <c r="U291" s="206"/>
      <c r="V291" s="206"/>
      <c r="W291" s="206"/>
      <c r="X291" s="206"/>
      <c r="Y291" s="206"/>
      <c r="Z291" s="206"/>
      <c r="AA291" s="206"/>
      <c r="AB291" s="206"/>
      <c r="AC291" s="206">
        <f>20255+201707</f>
        <v>221962</v>
      </c>
      <c r="AD291" s="207">
        <f>AC291*1.12</f>
        <v>248597.44000000003</v>
      </c>
      <c r="AE291" s="206">
        <f>51+32</f>
        <v>83</v>
      </c>
      <c r="AF291" s="206">
        <f>Z291+AC291+W291+T291</f>
        <v>221962</v>
      </c>
      <c r="AG291" s="206">
        <f>AA291+AD291+X291+U291</f>
        <v>248597.44000000003</v>
      </c>
      <c r="AH291" s="206">
        <f>AB291+AE291+Y291+V291</f>
        <v>83</v>
      </c>
      <c r="AI291" s="206"/>
      <c r="AJ291" s="206"/>
      <c r="AK291" s="206"/>
      <c r="AL291" s="206"/>
      <c r="AM291" s="203">
        <f>AL291*1.12</f>
        <v>0</v>
      </c>
      <c r="AN291" s="206"/>
      <c r="AO291" s="203"/>
      <c r="AP291" s="203"/>
      <c r="AQ291" s="203"/>
      <c r="AR291" s="205" t="str">
        <f>IF(AI291=0,"",AL291/AI291)</f>
        <v/>
      </c>
      <c r="AS291" s="204"/>
      <c r="AT291" s="204"/>
      <c r="AU291" s="204"/>
      <c r="AV291" s="203"/>
      <c r="AW291" s="203">
        <f>AV291*1.12</f>
        <v>0</v>
      </c>
      <c r="AX291" s="203"/>
      <c r="AY291" s="203"/>
      <c r="AZ291" s="203"/>
      <c r="BA291" s="203"/>
      <c r="BB291" s="203"/>
      <c r="BC291" s="203"/>
      <c r="BD291" s="203"/>
      <c r="BE291" s="203"/>
      <c r="BF291" s="203"/>
      <c r="BG291" s="203"/>
      <c r="BH291" s="203"/>
      <c r="BI291" s="203"/>
      <c r="BJ291" s="203"/>
      <c r="BK291" s="203"/>
      <c r="BL291" s="203"/>
      <c r="BM291" s="202"/>
      <c r="BN291" s="202"/>
      <c r="BO291" s="202"/>
      <c r="BP291" s="202"/>
      <c r="BQ291" s="202"/>
      <c r="BR291" s="202"/>
      <c r="BS291" s="202"/>
      <c r="BT291" s="202"/>
      <c r="BU291" s="201"/>
      <c r="BV291" s="201"/>
      <c r="BW291" s="188"/>
      <c r="BX291" s="188"/>
    </row>
    <row r="292" spans="1:76" ht="17.25" customHeight="1" x14ac:dyDescent="0.25">
      <c r="A292" s="200"/>
      <c r="B292" s="191"/>
      <c r="C292" s="199" t="s">
        <v>6</v>
      </c>
      <c r="D292" s="199" t="s">
        <v>26</v>
      </c>
      <c r="E292" s="198"/>
      <c r="F292" s="198">
        <f>E292*1.12</f>
        <v>0</v>
      </c>
      <c r="G292" s="197"/>
      <c r="H292" s="196"/>
      <c r="I292" s="195"/>
      <c r="J292" s="195">
        <f>I292*1.12</f>
        <v>0</v>
      </c>
      <c r="K292" s="227"/>
      <c r="L292" s="222"/>
      <c r="M292" s="193"/>
      <c r="N292" s="50">
        <f>P292</f>
        <v>196727015</v>
      </c>
      <c r="O292" s="50">
        <f>Q292</f>
        <v>220334256.80000001</v>
      </c>
      <c r="P292" s="51">
        <f>Q292/1.12</f>
        <v>196727015</v>
      </c>
      <c r="Q292" s="192">
        <f>Q291</f>
        <v>220334256.80000001</v>
      </c>
      <c r="R292" s="191"/>
      <c r="S292" s="190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126">
        <f>AC292*1.12</f>
        <v>0</v>
      </c>
      <c r="AE292" s="66"/>
      <c r="AF292" s="66">
        <f>AC292+Z292+W292+T292</f>
        <v>0</v>
      </c>
      <c r="AG292" s="66">
        <f>AD292+AA292+X292+U292</f>
        <v>0</v>
      </c>
      <c r="AH292" s="66"/>
      <c r="AI292" s="66">
        <f>AJ292/1.12</f>
        <v>147998.21428571426</v>
      </c>
      <c r="AJ292" s="66">
        <v>165758</v>
      </c>
      <c r="AK292" s="66"/>
      <c r="AL292" s="66">
        <f>AL293</f>
        <v>147998.15991071428</v>
      </c>
      <c r="AM292" s="62">
        <f>AL292*1.12</f>
        <v>165757.93910000002</v>
      </c>
      <c r="AN292" s="66"/>
      <c r="AO292" s="64">
        <f>AL292-AI292</f>
        <v>-5.4374999977881089E-2</v>
      </c>
      <c r="AP292" s="64">
        <f>AM292-AJ292</f>
        <v>-6.0899999982211739E-2</v>
      </c>
      <c r="AQ292" s="62"/>
      <c r="AR292" s="189">
        <f>IF(AI292=0,"",AL292/AI292)</f>
        <v>0.9999996325969186</v>
      </c>
      <c r="AS292" s="63">
        <f>AS293</f>
        <v>147998.15991071428</v>
      </c>
      <c r="AT292" s="63"/>
      <c r="AU292" s="63"/>
      <c r="AV292" s="64">
        <f>AL292</f>
        <v>147998.15991071428</v>
      </c>
      <c r="AW292" s="64">
        <f>AV292*1.12</f>
        <v>165757.93910000002</v>
      </c>
      <c r="AX292" s="62"/>
      <c r="AY292" s="62"/>
      <c r="AZ292" s="62"/>
      <c r="BA292" s="62"/>
      <c r="BB292" s="62"/>
      <c r="BC292" s="62"/>
      <c r="BD292" s="62"/>
      <c r="BE292" s="62"/>
      <c r="BF292" s="62"/>
      <c r="BG292" s="62"/>
      <c r="BH292" s="62"/>
      <c r="BI292" s="62"/>
      <c r="BJ292" s="62"/>
      <c r="BK292" s="62"/>
      <c r="BL292" s="62"/>
      <c r="BM292" s="59"/>
      <c r="BN292" s="59"/>
      <c r="BO292" s="59"/>
      <c r="BP292" s="59"/>
      <c r="BQ292" s="59"/>
      <c r="BR292" s="59"/>
      <c r="BS292" s="59"/>
      <c r="BT292" s="59"/>
      <c r="BU292" s="57"/>
      <c r="BV292" s="57"/>
      <c r="BW292" s="188"/>
      <c r="BX292" s="188"/>
    </row>
    <row r="293" spans="1:76" ht="17.25" customHeight="1" x14ac:dyDescent="0.25">
      <c r="A293" s="200"/>
      <c r="B293" s="191"/>
      <c r="C293" s="187" t="s">
        <v>6</v>
      </c>
      <c r="D293" s="187" t="s">
        <v>5</v>
      </c>
      <c r="E293" s="186"/>
      <c r="F293" s="186">
        <f>E293*1.12</f>
        <v>0</v>
      </c>
      <c r="G293" s="197"/>
      <c r="H293" s="196"/>
      <c r="I293" s="183"/>
      <c r="J293" s="183">
        <f>I293*1.12</f>
        <v>0</v>
      </c>
      <c r="K293" s="226"/>
      <c r="L293" s="220"/>
      <c r="M293" s="181"/>
      <c r="N293" s="50">
        <f>P293</f>
        <v>196727015</v>
      </c>
      <c r="O293" s="50">
        <f>Q293</f>
        <v>220334256.80000001</v>
      </c>
      <c r="P293" s="50">
        <f>Q293/1.12</f>
        <v>196727015</v>
      </c>
      <c r="Q293" s="180">
        <f>Q292</f>
        <v>220334256.80000001</v>
      </c>
      <c r="R293" s="56"/>
      <c r="S293" s="179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7">
        <f>AC293*1.12</f>
        <v>0</v>
      </c>
      <c r="AE293" s="46"/>
      <c r="AF293" s="46">
        <f>AC293+Z293+W293+T293</f>
        <v>0</v>
      </c>
      <c r="AG293" s="46">
        <f>AD293+AA293+X293+U293</f>
        <v>0</v>
      </c>
      <c r="AH293" s="46"/>
      <c r="AI293" s="46">
        <f>AJ293/1.12</f>
        <v>147998.21428571426</v>
      </c>
      <c r="AJ293" s="46">
        <f>AJ292</f>
        <v>165758</v>
      </c>
      <c r="AK293" s="46"/>
      <c r="AL293" s="246">
        <f>89696.85033/1.12+76061.08877/1.12</f>
        <v>147998.15991071428</v>
      </c>
      <c r="AM293" s="41">
        <f>AL293*1.12</f>
        <v>165757.93910000002</v>
      </c>
      <c r="AN293" s="46"/>
      <c r="AO293" s="44">
        <f>AO292</f>
        <v>-5.4374999977881089E-2</v>
      </c>
      <c r="AP293" s="44">
        <f>AP292</f>
        <v>-6.0899999982211739E-2</v>
      </c>
      <c r="AQ293" s="41"/>
      <c r="AR293" s="178">
        <f>IF(AI293=0,"",AL293/AI293)</f>
        <v>0.9999996325969186</v>
      </c>
      <c r="AS293" s="42">
        <f>AL293</f>
        <v>147998.15991071428</v>
      </c>
      <c r="AT293" s="42"/>
      <c r="AU293" s="42"/>
      <c r="AV293" s="44">
        <f>AV292</f>
        <v>147998.15991071428</v>
      </c>
      <c r="AW293" s="44">
        <f>AV293*1.12</f>
        <v>165757.93910000002</v>
      </c>
      <c r="AX293" s="41"/>
      <c r="AY293" s="41"/>
      <c r="AZ293" s="41"/>
      <c r="BA293" s="41"/>
      <c r="BB293" s="41"/>
      <c r="BC293" s="41"/>
      <c r="BD293" s="41"/>
      <c r="BE293" s="41"/>
      <c r="BF293" s="62"/>
      <c r="BG293" s="41"/>
      <c r="BH293" s="41"/>
      <c r="BI293" s="41"/>
      <c r="BJ293" s="41"/>
      <c r="BK293" s="41"/>
      <c r="BL293" s="41"/>
      <c r="BM293" s="39"/>
      <c r="BN293" s="39"/>
      <c r="BO293" s="39"/>
      <c r="BP293" s="39"/>
      <c r="BQ293" s="39"/>
      <c r="BR293" s="39"/>
      <c r="BS293" s="39"/>
      <c r="BT293" s="39"/>
      <c r="BW293" s="188"/>
      <c r="BX293" s="188"/>
    </row>
    <row r="294" spans="1:76" ht="23.25" customHeight="1" x14ac:dyDescent="0.25">
      <c r="A294" s="200"/>
      <c r="B294" s="191"/>
      <c r="C294" s="214" t="s">
        <v>9</v>
      </c>
      <c r="D294" s="214" t="s">
        <v>8</v>
      </c>
      <c r="E294" s="213"/>
      <c r="F294" s="213">
        <f>E294*1.12</f>
        <v>0</v>
      </c>
      <c r="G294" s="197"/>
      <c r="H294" s="196"/>
      <c r="I294" s="212"/>
      <c r="J294" s="212">
        <f>I294*1.12</f>
        <v>0</v>
      </c>
      <c r="K294" s="228" t="s">
        <v>55</v>
      </c>
      <c r="L294" s="244" t="s">
        <v>54</v>
      </c>
      <c r="M294" s="211" t="s">
        <v>13</v>
      </c>
      <c r="N294" s="210">
        <f>P294</f>
        <v>189616399.99999997</v>
      </c>
      <c r="O294" s="210">
        <f>Q294</f>
        <v>212370368</v>
      </c>
      <c r="P294" s="210">
        <f>Q294/1.12</f>
        <v>189616399.99999997</v>
      </c>
      <c r="Q294" s="209">
        <v>212370368</v>
      </c>
      <c r="R294" s="73" t="s">
        <v>53</v>
      </c>
      <c r="S294" s="208">
        <v>80</v>
      </c>
      <c r="T294" s="206"/>
      <c r="U294" s="206"/>
      <c r="V294" s="206"/>
      <c r="W294" s="206"/>
      <c r="X294" s="206"/>
      <c r="Y294" s="206"/>
      <c r="Z294" s="206"/>
      <c r="AA294" s="206"/>
      <c r="AB294" s="206"/>
      <c r="AC294" s="206">
        <v>192185</v>
      </c>
      <c r="AD294" s="207">
        <f>AC294*1.12</f>
        <v>215247.2</v>
      </c>
      <c r="AE294" s="206">
        <v>80</v>
      </c>
      <c r="AF294" s="206">
        <f>Z294+AC294+W294+T294</f>
        <v>192185</v>
      </c>
      <c r="AG294" s="206">
        <f>AA294+AD294+X294+U294</f>
        <v>215247.2</v>
      </c>
      <c r="AH294" s="206">
        <f>AB294+AE294+Y294+V294</f>
        <v>80</v>
      </c>
      <c r="AI294" s="206"/>
      <c r="AJ294" s="206"/>
      <c r="AK294" s="206"/>
      <c r="AL294" s="206"/>
      <c r="AM294" s="203">
        <f>AL294*1.12</f>
        <v>0</v>
      </c>
      <c r="AN294" s="206"/>
      <c r="AO294" s="203"/>
      <c r="AP294" s="203"/>
      <c r="AQ294" s="203"/>
      <c r="AR294" s="205" t="str">
        <f>IF(AI294=0,"",AL294/AI294)</f>
        <v/>
      </c>
      <c r="AS294" s="204"/>
      <c r="AT294" s="204"/>
      <c r="AU294" s="204"/>
      <c r="AV294" s="203">
        <f>AL294</f>
        <v>0</v>
      </c>
      <c r="AW294" s="203">
        <f>AV294*1.12</f>
        <v>0</v>
      </c>
      <c r="AX294" s="203">
        <f>AN294</f>
        <v>0</v>
      </c>
      <c r="AY294" s="203"/>
      <c r="AZ294" s="203"/>
      <c r="BA294" s="203"/>
      <c r="BB294" s="203"/>
      <c r="BC294" s="203"/>
      <c r="BD294" s="203"/>
      <c r="BE294" s="203"/>
      <c r="BF294" s="203"/>
      <c r="BG294" s="203"/>
      <c r="BH294" s="203"/>
      <c r="BI294" s="203"/>
      <c r="BJ294" s="203"/>
      <c r="BK294" s="203"/>
      <c r="BL294" s="203"/>
      <c r="BM294" s="202"/>
      <c r="BN294" s="202"/>
      <c r="BO294" s="202"/>
      <c r="BP294" s="202"/>
      <c r="BQ294" s="202"/>
      <c r="BR294" s="202"/>
      <c r="BS294" s="202"/>
      <c r="BT294" s="202"/>
      <c r="BU294" s="201"/>
      <c r="BV294" s="201"/>
      <c r="BW294" s="188"/>
      <c r="BX294" s="188"/>
    </row>
    <row r="295" spans="1:76" ht="23.25" customHeight="1" x14ac:dyDescent="0.25">
      <c r="A295" s="200"/>
      <c r="B295" s="191"/>
      <c r="C295" s="199" t="s">
        <v>6</v>
      </c>
      <c r="D295" s="199" t="s">
        <v>26</v>
      </c>
      <c r="E295" s="198"/>
      <c r="F295" s="198">
        <f>E295*1.12</f>
        <v>0</v>
      </c>
      <c r="G295" s="197"/>
      <c r="H295" s="196"/>
      <c r="I295" s="195"/>
      <c r="J295" s="195">
        <f>I295*1.12</f>
        <v>0</v>
      </c>
      <c r="K295" s="227"/>
      <c r="L295" s="244"/>
      <c r="M295" s="193"/>
      <c r="N295" s="50">
        <f>P295</f>
        <v>189616399.99999997</v>
      </c>
      <c r="O295" s="50">
        <f>Q295</f>
        <v>212370368</v>
      </c>
      <c r="P295" s="51">
        <f>Q295/1.12</f>
        <v>189616399.99999997</v>
      </c>
      <c r="Q295" s="192">
        <f>Q294</f>
        <v>212370368</v>
      </c>
      <c r="R295" s="191"/>
      <c r="S295" s="190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126">
        <f>AC295*1.12</f>
        <v>0</v>
      </c>
      <c r="AE295" s="66"/>
      <c r="AF295" s="66">
        <f>AC295+Z295+W295+T295</f>
        <v>0</v>
      </c>
      <c r="AG295" s="66">
        <f>AD295+AA295+X295+U295</f>
        <v>0</v>
      </c>
      <c r="AH295" s="66"/>
      <c r="AI295" s="66">
        <f>AJ295/1.12</f>
        <v>154830.35714285713</v>
      </c>
      <c r="AJ295" s="66">
        <v>173410</v>
      </c>
      <c r="AK295" s="66"/>
      <c r="AL295" s="66">
        <f>AM295/1.12</f>
        <v>154830.35714285713</v>
      </c>
      <c r="AM295" s="245">
        <v>173410</v>
      </c>
      <c r="AN295" s="66"/>
      <c r="AO295" s="64">
        <f>AL295-AI295</f>
        <v>0</v>
      </c>
      <c r="AP295" s="64">
        <f>AM295-AJ295</f>
        <v>0</v>
      </c>
      <c r="AQ295" s="62"/>
      <c r="AR295" s="189">
        <f>IF(AI295=0,"",AL295/AI295)</f>
        <v>1</v>
      </c>
      <c r="AS295" s="63">
        <f>AS296</f>
        <v>154830.35714285713</v>
      </c>
      <c r="AT295" s="63"/>
      <c r="AU295" s="63"/>
      <c r="AV295" s="64">
        <f>AL295</f>
        <v>154830.35714285713</v>
      </c>
      <c r="AW295" s="64">
        <f>AV295*1.12</f>
        <v>173410</v>
      </c>
      <c r="AX295" s="62"/>
      <c r="AY295" s="62"/>
      <c r="AZ295" s="62"/>
      <c r="BA295" s="62"/>
      <c r="BB295" s="62"/>
      <c r="BC295" s="62"/>
      <c r="BD295" s="62"/>
      <c r="BE295" s="62"/>
      <c r="BF295" s="62"/>
      <c r="BG295" s="62"/>
      <c r="BH295" s="62"/>
      <c r="BI295" s="62"/>
      <c r="BJ295" s="62"/>
      <c r="BK295" s="62"/>
      <c r="BL295" s="62"/>
      <c r="BM295" s="59"/>
      <c r="BN295" s="59"/>
      <c r="BO295" s="59"/>
      <c r="BP295" s="59"/>
      <c r="BQ295" s="59"/>
      <c r="BR295" s="59"/>
      <c r="BS295" s="59"/>
      <c r="BT295" s="59"/>
      <c r="BU295" s="57"/>
      <c r="BV295" s="57"/>
      <c r="BW295" s="188"/>
      <c r="BX295" s="188"/>
    </row>
    <row r="296" spans="1:76" ht="23.25" customHeight="1" x14ac:dyDescent="0.25">
      <c r="A296" s="55"/>
      <c r="B296" s="56"/>
      <c r="C296" s="187" t="s">
        <v>6</v>
      </c>
      <c r="D296" s="187" t="s">
        <v>5</v>
      </c>
      <c r="E296" s="186"/>
      <c r="F296" s="186">
        <f>E296*1.12</f>
        <v>0</v>
      </c>
      <c r="G296" s="185"/>
      <c r="H296" s="184"/>
      <c r="I296" s="183"/>
      <c r="J296" s="183">
        <f>I296*1.12</f>
        <v>0</v>
      </c>
      <c r="K296" s="226"/>
      <c r="L296" s="244"/>
      <c r="M296" s="181"/>
      <c r="N296" s="50">
        <f>P296</f>
        <v>189616399.99999997</v>
      </c>
      <c r="O296" s="50">
        <f>Q296</f>
        <v>212370368</v>
      </c>
      <c r="P296" s="50">
        <f>Q296/1.12</f>
        <v>189616399.99999997</v>
      </c>
      <c r="Q296" s="180">
        <f>Q295</f>
        <v>212370368</v>
      </c>
      <c r="R296" s="56"/>
      <c r="S296" s="179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7">
        <f>AC296*1.12</f>
        <v>0</v>
      </c>
      <c r="AE296" s="46"/>
      <c r="AF296" s="46">
        <f>AC296+Z296+W296+T296</f>
        <v>0</v>
      </c>
      <c r="AG296" s="46">
        <f>AD296+AA296+X296+U296</f>
        <v>0</v>
      </c>
      <c r="AH296" s="46"/>
      <c r="AI296" s="46">
        <f>AI295</f>
        <v>154830.35714285713</v>
      </c>
      <c r="AJ296" s="46">
        <f>AJ295</f>
        <v>173410</v>
      </c>
      <c r="AK296" s="46"/>
      <c r="AL296" s="103">
        <f>AL295</f>
        <v>154830.35714285713</v>
      </c>
      <c r="AM296" s="41">
        <f>AM295</f>
        <v>173410</v>
      </c>
      <c r="AN296" s="46"/>
      <c r="AO296" s="44">
        <f>AO295</f>
        <v>0</v>
      </c>
      <c r="AP296" s="44">
        <f>AP295</f>
        <v>0</v>
      </c>
      <c r="AQ296" s="41"/>
      <c r="AR296" s="178">
        <f>IF(AI296=0,"",AL296/AI296)</f>
        <v>1</v>
      </c>
      <c r="AS296" s="42">
        <f>AL296</f>
        <v>154830.35714285713</v>
      </c>
      <c r="AT296" s="42"/>
      <c r="AU296" s="42"/>
      <c r="AV296" s="44">
        <f>AV295</f>
        <v>154830.35714285713</v>
      </c>
      <c r="AW296" s="44">
        <f>AV296*1.12</f>
        <v>173410</v>
      </c>
      <c r="AX296" s="41"/>
      <c r="AY296" s="41"/>
      <c r="AZ296" s="41"/>
      <c r="BA296" s="41"/>
      <c r="BB296" s="41"/>
      <c r="BC296" s="41"/>
      <c r="BD296" s="41"/>
      <c r="BE296" s="41"/>
      <c r="BF296" s="62"/>
      <c r="BG296" s="41"/>
      <c r="BH296" s="41"/>
      <c r="BI296" s="41"/>
      <c r="BJ296" s="41"/>
      <c r="BK296" s="41"/>
      <c r="BL296" s="41"/>
      <c r="BM296" s="39"/>
      <c r="BN296" s="39"/>
      <c r="BO296" s="39"/>
      <c r="BP296" s="39"/>
      <c r="BQ296" s="39"/>
      <c r="BR296" s="39"/>
      <c r="BS296" s="39"/>
      <c r="BT296" s="39"/>
      <c r="BW296" s="177"/>
      <c r="BX296" s="177"/>
    </row>
    <row r="297" spans="1:76" s="201" customFormat="1" ht="17.25" customHeight="1" x14ac:dyDescent="0.25">
      <c r="A297" s="72"/>
      <c r="B297" s="73" t="s">
        <v>52</v>
      </c>
      <c r="C297" s="214" t="s">
        <v>9</v>
      </c>
      <c r="D297" s="214" t="s">
        <v>8</v>
      </c>
      <c r="E297" s="213">
        <v>14287835</v>
      </c>
      <c r="F297" s="213">
        <f>E297*1.12</f>
        <v>16002375.200000001</v>
      </c>
      <c r="G297" s="243">
        <v>1818</v>
      </c>
      <c r="H297" s="242">
        <v>3390</v>
      </c>
      <c r="I297" s="212">
        <v>14287835</v>
      </c>
      <c r="J297" s="212">
        <f>I297*1.12</f>
        <v>16002375.200000001</v>
      </c>
      <c r="K297" s="118" t="s">
        <v>40</v>
      </c>
      <c r="L297" s="237" t="s">
        <v>51</v>
      </c>
      <c r="M297" s="211" t="s">
        <v>13</v>
      </c>
      <c r="N297" s="210">
        <f>P297</f>
        <v>810325035.27678561</v>
      </c>
      <c r="O297" s="210">
        <f>Q297</f>
        <v>907564039.50999999</v>
      </c>
      <c r="P297" s="210">
        <f>Q297/1.12</f>
        <v>810325035.27678561</v>
      </c>
      <c r="Q297" s="209">
        <v>907564039.50999999</v>
      </c>
      <c r="R297" s="73" t="s">
        <v>45</v>
      </c>
      <c r="S297" s="208">
        <v>344</v>
      </c>
      <c r="T297" s="206"/>
      <c r="U297" s="206"/>
      <c r="V297" s="206"/>
      <c r="W297" s="206"/>
      <c r="X297" s="206"/>
      <c r="Y297" s="206"/>
      <c r="Z297" s="206"/>
      <c r="AA297" s="206"/>
      <c r="AB297" s="206"/>
      <c r="AC297" s="206"/>
      <c r="AD297" s="207">
        <f>AC297*1.12</f>
        <v>0</v>
      </c>
      <c r="AE297" s="206"/>
      <c r="AF297" s="206">
        <f>Z297+AC297+W297+T297</f>
        <v>0</v>
      </c>
      <c r="AG297" s="206">
        <f>AA297+AD297+X297+U297</f>
        <v>0</v>
      </c>
      <c r="AH297" s="206">
        <f>AB297+AE297+Y297+V297</f>
        <v>0</v>
      </c>
      <c r="AI297" s="206">
        <f>1210375+1214759+1219145+882310+1015743+1234907+935664+939877+931449+1373993+1896615+1432998</f>
        <v>14287835</v>
      </c>
      <c r="AJ297" s="206">
        <f>AI297*1.12</f>
        <v>16002375.200000001</v>
      </c>
      <c r="AK297" s="206">
        <f>276+277+278+243+241+293+222+223+221+326+450+340</f>
        <v>3390</v>
      </c>
      <c r="AL297" s="206">
        <v>869499</v>
      </c>
      <c r="AM297" s="203">
        <f>AL297*1.12</f>
        <v>973838.88000000012</v>
      </c>
      <c r="AN297" s="206">
        <f>60+60+64+55+53+52</f>
        <v>344</v>
      </c>
      <c r="AO297" s="203">
        <f>AL297-($AI$297/$AK$297*$AN$297)</f>
        <v>-580358.00294985273</v>
      </c>
      <c r="AP297" s="203">
        <f>AO297*1.12</f>
        <v>-650000.96330383513</v>
      </c>
      <c r="AQ297" s="203">
        <f>AN297-S297</f>
        <v>0</v>
      </c>
      <c r="AR297" s="205">
        <f>IF($AI$297=0,"",AL297/($AI$297/$AK$297*AN297))</f>
        <v>0.59971362570993769</v>
      </c>
      <c r="AS297" s="204"/>
      <c r="AT297" s="204"/>
      <c r="AU297" s="204"/>
      <c r="AV297" s="203">
        <f>P297/1000+AZ297</f>
        <v>229967.03232693288</v>
      </c>
      <c r="AW297" s="203">
        <f>AV297*1.12</f>
        <v>257563.07620616484</v>
      </c>
      <c r="AX297" s="203">
        <f>S297</f>
        <v>344</v>
      </c>
      <c r="AY297" s="203"/>
      <c r="AZ297" s="203">
        <f>AL297-($AI$297/$AK$297*AN297)</f>
        <v>-580358.00294985273</v>
      </c>
      <c r="BA297" s="203"/>
      <c r="BB297" s="203"/>
      <c r="BC297" s="203"/>
      <c r="BD297" s="203"/>
      <c r="BE297" s="203"/>
      <c r="BF297" s="203"/>
      <c r="BG297" s="203"/>
      <c r="BH297" s="203"/>
      <c r="BI297" s="203"/>
      <c r="BJ297" s="203"/>
      <c r="BK297" s="203"/>
      <c r="BL297" s="203"/>
      <c r="BM297" s="202"/>
      <c r="BN297" s="202"/>
      <c r="BO297" s="202"/>
      <c r="BP297" s="202"/>
      <c r="BQ297" s="202"/>
      <c r="BR297" s="202"/>
      <c r="BS297" s="202"/>
      <c r="BT297" s="202"/>
      <c r="BW297" s="241">
        <f>SUM(AY297:BL341)</f>
        <v>-4904855.0000000019</v>
      </c>
      <c r="BX297" s="240">
        <f>BW297-(AO297+AO300+AO303+AO306+AO309+AO312+AO315+AO318+AO321+AO324+AO327+AO330+AO333+AO336+AO339)</f>
        <v>0</v>
      </c>
    </row>
    <row r="298" spans="1:76" s="57" customFormat="1" ht="17.25" customHeight="1" x14ac:dyDescent="0.25">
      <c r="A298" s="200"/>
      <c r="B298" s="191"/>
      <c r="C298" s="199" t="s">
        <v>6</v>
      </c>
      <c r="D298" s="199" t="s">
        <v>26</v>
      </c>
      <c r="E298" s="198">
        <v>14158630</v>
      </c>
      <c r="F298" s="198">
        <f>E298*1.12</f>
        <v>15857665.600000001</v>
      </c>
      <c r="G298" s="197"/>
      <c r="H298" s="196"/>
      <c r="I298" s="195">
        <v>11950475</v>
      </c>
      <c r="J298" s="195">
        <f>I298*1.12</f>
        <v>13384532.000000002</v>
      </c>
      <c r="K298" s="194"/>
      <c r="L298" s="235"/>
      <c r="M298" s="193"/>
      <c r="N298" s="50">
        <f>P298</f>
        <v>810325035.27678561</v>
      </c>
      <c r="O298" s="50">
        <f>Q298</f>
        <v>907564039.50999999</v>
      </c>
      <c r="P298" s="51">
        <f>Q298/1.12</f>
        <v>810325035.27678561</v>
      </c>
      <c r="Q298" s="192">
        <f>Q297</f>
        <v>907564039.50999999</v>
      </c>
      <c r="R298" s="191"/>
      <c r="S298" s="190"/>
      <c r="T298" s="66"/>
      <c r="U298" s="66"/>
      <c r="V298" s="66"/>
      <c r="W298" s="66"/>
      <c r="X298" s="66"/>
      <c r="Y298" s="66"/>
      <c r="Z298" s="66"/>
      <c r="AA298" s="66"/>
      <c r="AB298" s="66"/>
      <c r="AC298" s="117">
        <f>AC299</f>
        <v>0</v>
      </c>
      <c r="AD298" s="229">
        <f>AC298*1.12</f>
        <v>0</v>
      </c>
      <c r="AE298" s="66"/>
      <c r="AF298" s="66">
        <f>AC298+Z298+W298+T298</f>
        <v>0</v>
      </c>
      <c r="AG298" s="66">
        <f>AD298+AA298+X298+U298</f>
        <v>0</v>
      </c>
      <c r="AH298" s="66"/>
      <c r="AI298" s="66">
        <f>604922+2242103+1447243+624525+533389+1986425+2277971-1+2233898</f>
        <v>11950475</v>
      </c>
      <c r="AJ298" s="66">
        <f>AI298*1.12</f>
        <v>13384532.000000002</v>
      </c>
      <c r="AK298" s="66"/>
      <c r="AL298" s="117">
        <f>AL299</f>
        <v>490511.79060714284</v>
      </c>
      <c r="AM298" s="64">
        <f>AL298*1.12</f>
        <v>549373.20548</v>
      </c>
      <c r="AN298" s="66"/>
      <c r="AO298" s="64">
        <f>AL298-($AI$298/$AK$297*$AN$297)</f>
        <v>-722161.77871439105</v>
      </c>
      <c r="AP298" s="64">
        <f>AO298*1.12</f>
        <v>-808821.19216011802</v>
      </c>
      <c r="AQ298" s="62"/>
      <c r="AR298" s="189">
        <f>IF($AI$298=0,"",AL298/($AI$298/$AK$297*AN297))</f>
        <v>0.40448790426064468</v>
      </c>
      <c r="AS298" s="63"/>
      <c r="AT298" s="63">
        <f>AL298</f>
        <v>490511.79060714284</v>
      </c>
      <c r="AU298" s="63"/>
      <c r="AV298" s="64">
        <f>AV297</f>
        <v>229967.03232693288</v>
      </c>
      <c r="AW298" s="64">
        <f>AV298*1.12</f>
        <v>257563.07620616484</v>
      </c>
      <c r="AX298" s="62"/>
      <c r="AY298" s="62"/>
      <c r="AZ298" s="62"/>
      <c r="BA298" s="62"/>
      <c r="BB298" s="62"/>
      <c r="BC298" s="62"/>
      <c r="BD298" s="62"/>
      <c r="BE298" s="62"/>
      <c r="BF298" s="62"/>
      <c r="BG298" s="62"/>
      <c r="BH298" s="62"/>
      <c r="BI298" s="62"/>
      <c r="BJ298" s="62"/>
      <c r="BK298" s="62"/>
      <c r="BL298" s="62"/>
      <c r="BM298" s="59"/>
      <c r="BN298" s="59"/>
      <c r="BO298" s="231">
        <f>BO299</f>
        <v>11865.687809999999</v>
      </c>
      <c r="BP298" s="231">
        <f>BP299</f>
        <v>171406.79699999999</v>
      </c>
      <c r="BQ298" s="59">
        <f>BQ299</f>
        <v>38.474249999999998</v>
      </c>
      <c r="BR298" s="59"/>
      <c r="BS298" s="59"/>
      <c r="BT298" s="59"/>
      <c r="BW298" s="188"/>
      <c r="BX298" s="188"/>
    </row>
    <row r="299" spans="1:76" ht="17.25" customHeight="1" x14ac:dyDescent="0.25">
      <c r="A299" s="200"/>
      <c r="B299" s="191"/>
      <c r="C299" s="187" t="s">
        <v>6</v>
      </c>
      <c r="D299" s="187" t="s">
        <v>5</v>
      </c>
      <c r="E299" s="186">
        <f>E298</f>
        <v>14158630</v>
      </c>
      <c r="F299" s="186">
        <f>E299*1.12</f>
        <v>15857665.600000001</v>
      </c>
      <c r="G299" s="197"/>
      <c r="H299" s="196"/>
      <c r="I299" s="183">
        <f>I298</f>
        <v>11950475</v>
      </c>
      <c r="J299" s="183">
        <f>I299*1.12</f>
        <v>13384532.000000002</v>
      </c>
      <c r="K299" s="105"/>
      <c r="L299" s="233"/>
      <c r="M299" s="181"/>
      <c r="N299" s="50">
        <f>P299</f>
        <v>810325035.27678561</v>
      </c>
      <c r="O299" s="50">
        <f>Q299</f>
        <v>907564039.50999999</v>
      </c>
      <c r="P299" s="50">
        <f>Q299/1.12</f>
        <v>810325035.27678561</v>
      </c>
      <c r="Q299" s="180">
        <f>Q298</f>
        <v>907564039.50999999</v>
      </c>
      <c r="R299" s="56"/>
      <c r="S299" s="179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7">
        <f>AC299*1.12</f>
        <v>0</v>
      </c>
      <c r="AE299" s="46"/>
      <c r="AF299" s="46">
        <f>AC299+Z299+W299+T299</f>
        <v>0</v>
      </c>
      <c r="AG299" s="46">
        <f>AD299+AA299+X299+U299</f>
        <v>0</v>
      </c>
      <c r="AH299" s="46"/>
      <c r="AI299" s="46">
        <f>AI298</f>
        <v>11950475</v>
      </c>
      <c r="AJ299" s="46">
        <f>AI299*1.12</f>
        <v>13384532.000000002</v>
      </c>
      <c r="AK299" s="46"/>
      <c r="AL299" s="225">
        <f>157639.18602/1.12+109307.6528/1.12+77196.07179/1.12+115303.47616/1.12+89926.81871/1.12</f>
        <v>490511.79060714284</v>
      </c>
      <c r="AM299" s="186">
        <f>AL299*1.12</f>
        <v>549373.20548</v>
      </c>
      <c r="AN299" s="46"/>
      <c r="AO299" s="44">
        <f>AO298</f>
        <v>-722161.77871439105</v>
      </c>
      <c r="AP299" s="44">
        <f>AP298</f>
        <v>-808821.19216011802</v>
      </c>
      <c r="AQ299" s="41"/>
      <c r="AR299" s="178">
        <f>AR298</f>
        <v>0.40448790426064468</v>
      </c>
      <c r="AS299" s="42"/>
      <c r="AT299" s="42">
        <f>AL299</f>
        <v>490511.79060714284</v>
      </c>
      <c r="AU299" s="42"/>
      <c r="AV299" s="44">
        <f>AV298</f>
        <v>229967.03232693288</v>
      </c>
      <c r="AW299" s="44">
        <f>AV299*1.12</f>
        <v>257563.07620616484</v>
      </c>
      <c r="AX299" s="41"/>
      <c r="AY299" s="41"/>
      <c r="AZ299" s="41"/>
      <c r="BA299" s="41"/>
      <c r="BB299" s="41"/>
      <c r="BC299" s="41"/>
      <c r="BD299" s="41"/>
      <c r="BE299" s="41"/>
      <c r="BF299" s="62"/>
      <c r="BG299" s="41"/>
      <c r="BH299" s="41"/>
      <c r="BI299" s="41"/>
      <c r="BJ299" s="41"/>
      <c r="BK299" s="41"/>
      <c r="BL299" s="41"/>
      <c r="BM299" s="39"/>
      <c r="BN299" s="39"/>
      <c r="BO299" s="230">
        <f>5286144.43/1000+6579543.38/1000</f>
        <v>11865.687809999999</v>
      </c>
      <c r="BP299" s="230">
        <f>171406797/1000</f>
        <v>171406.79699999999</v>
      </c>
      <c r="BQ299" s="38">
        <f>38474.25/1000</f>
        <v>38.474249999999998</v>
      </c>
      <c r="BR299" s="39"/>
      <c r="BS299" s="39"/>
      <c r="BT299" s="39"/>
      <c r="BW299" s="188"/>
      <c r="BX299" s="188"/>
    </row>
    <row r="300" spans="1:76" ht="17.25" customHeight="1" x14ac:dyDescent="0.25">
      <c r="A300" s="200"/>
      <c r="B300" s="191"/>
      <c r="C300" s="214" t="s">
        <v>9</v>
      </c>
      <c r="D300" s="214" t="s">
        <v>8</v>
      </c>
      <c r="E300" s="213"/>
      <c r="F300" s="213">
        <f>E300*1.12</f>
        <v>0</v>
      </c>
      <c r="G300" s="197"/>
      <c r="H300" s="196"/>
      <c r="I300" s="212"/>
      <c r="J300" s="212">
        <f>I300*1.12</f>
        <v>0</v>
      </c>
      <c r="K300" s="238" t="s">
        <v>50</v>
      </c>
      <c r="L300" s="238" t="s">
        <v>49</v>
      </c>
      <c r="M300" s="211" t="s">
        <v>13</v>
      </c>
      <c r="N300" s="210">
        <f>P300</f>
        <v>485252782.7589286</v>
      </c>
      <c r="O300" s="210">
        <f>Q300</f>
        <v>543483116.69000006</v>
      </c>
      <c r="P300" s="210">
        <f>Q300/1.12</f>
        <v>485252782.7589286</v>
      </c>
      <c r="Q300" s="209">
        <v>543483116.69000006</v>
      </c>
      <c r="R300" s="73" t="s">
        <v>45</v>
      </c>
      <c r="S300" s="208">
        <v>206</v>
      </c>
      <c r="T300" s="206"/>
      <c r="U300" s="206"/>
      <c r="V300" s="206"/>
      <c r="W300" s="206"/>
      <c r="X300" s="206"/>
      <c r="Y300" s="206"/>
      <c r="Z300" s="206"/>
      <c r="AA300" s="206"/>
      <c r="AB300" s="206"/>
      <c r="AC300" s="206"/>
      <c r="AD300" s="207">
        <f>AC300*1.12</f>
        <v>0</v>
      </c>
      <c r="AE300" s="206"/>
      <c r="AF300" s="206">
        <f>Z300+AC300+W300+T300</f>
        <v>0</v>
      </c>
      <c r="AG300" s="206">
        <f>AA300+AD300+X300+U300</f>
        <v>0</v>
      </c>
      <c r="AH300" s="206">
        <f>AB300+AE300+Y300+V300</f>
        <v>0</v>
      </c>
      <c r="AI300" s="206"/>
      <c r="AJ300" s="206"/>
      <c r="AK300" s="206"/>
      <c r="AL300" s="206">
        <f>582152</f>
        <v>582152</v>
      </c>
      <c r="AM300" s="203">
        <f>AL300*1.12</f>
        <v>652010.24000000011</v>
      </c>
      <c r="AN300" s="206">
        <f>35+35+35+31+31+39</f>
        <v>206</v>
      </c>
      <c r="AO300" s="203">
        <f>AL300-($AI$297/$AK$297*$AN$300)</f>
        <v>-286076.32153392339</v>
      </c>
      <c r="AP300" s="203">
        <f>AM300-($AJ$297/$AK$297*$AN$300)</f>
        <v>-320405.48011799401</v>
      </c>
      <c r="AQ300" s="203">
        <f>AN300-S300</f>
        <v>0</v>
      </c>
      <c r="AR300" s="205">
        <f>IF($AI$297=0,"",AL300/($AI$297/$AK$297*AN300))</f>
        <v>0.67050565566842568</v>
      </c>
      <c r="AS300" s="204"/>
      <c r="AT300" s="204"/>
      <c r="AU300" s="204"/>
      <c r="AV300" s="203">
        <f>P300/1000+AZ300</f>
        <v>199176.46122500522</v>
      </c>
      <c r="AW300" s="203">
        <f>AV300*1.12</f>
        <v>223077.63657200587</v>
      </c>
      <c r="AX300" s="203">
        <f>S300</f>
        <v>206</v>
      </c>
      <c r="AY300" s="203"/>
      <c r="AZ300" s="203">
        <f>AL300-($AI$297/$AK$297*AN300)</f>
        <v>-286076.32153392339</v>
      </c>
      <c r="BA300" s="203"/>
      <c r="BB300" s="203"/>
      <c r="BC300" s="203"/>
      <c r="BD300" s="203"/>
      <c r="BE300" s="203"/>
      <c r="BF300" s="203"/>
      <c r="BG300" s="203"/>
      <c r="BH300" s="203"/>
      <c r="BI300" s="203"/>
      <c r="BJ300" s="203"/>
      <c r="BK300" s="203"/>
      <c r="BL300" s="203"/>
      <c r="BM300" s="202"/>
      <c r="BN300" s="202"/>
      <c r="BO300" s="202"/>
      <c r="BP300" s="202"/>
      <c r="BQ300" s="202"/>
      <c r="BR300" s="202"/>
      <c r="BS300" s="202"/>
      <c r="BT300" s="202"/>
      <c r="BU300" s="201"/>
      <c r="BV300" s="201"/>
      <c r="BW300" s="188"/>
      <c r="BX300" s="188"/>
    </row>
    <row r="301" spans="1:76" ht="17.25" customHeight="1" x14ac:dyDescent="0.25">
      <c r="A301" s="200"/>
      <c r="B301" s="191"/>
      <c r="C301" s="199" t="s">
        <v>6</v>
      </c>
      <c r="D301" s="199" t="s">
        <v>26</v>
      </c>
      <c r="E301" s="198"/>
      <c r="F301" s="198">
        <f>E301*1.12</f>
        <v>0</v>
      </c>
      <c r="G301" s="197"/>
      <c r="H301" s="196"/>
      <c r="I301" s="195"/>
      <c r="J301" s="195">
        <f>I301*1.12</f>
        <v>0</v>
      </c>
      <c r="K301" s="236"/>
      <c r="L301" s="236"/>
      <c r="M301" s="193"/>
      <c r="N301" s="50">
        <f>P301</f>
        <v>485252782.7589286</v>
      </c>
      <c r="O301" s="50">
        <f>Q301</f>
        <v>543483116.69000006</v>
      </c>
      <c r="P301" s="51">
        <f>Q301/1.12</f>
        <v>485252782.7589286</v>
      </c>
      <c r="Q301" s="192">
        <f>Q300</f>
        <v>543483116.69000006</v>
      </c>
      <c r="R301" s="191"/>
      <c r="S301" s="190"/>
      <c r="T301" s="66"/>
      <c r="U301" s="66"/>
      <c r="V301" s="66"/>
      <c r="W301" s="66"/>
      <c r="X301" s="66"/>
      <c r="Y301" s="66"/>
      <c r="Z301" s="66"/>
      <c r="AA301" s="66"/>
      <c r="AB301" s="66"/>
      <c r="AC301" s="117">
        <f>AC302</f>
        <v>0</v>
      </c>
      <c r="AD301" s="229">
        <f>AC301*1.12</f>
        <v>0</v>
      </c>
      <c r="AE301" s="66"/>
      <c r="AF301" s="66">
        <f>AC301+Z301+W301+T301</f>
        <v>0</v>
      </c>
      <c r="AG301" s="66">
        <f>AD301+AA301+X301+U301</f>
        <v>0</v>
      </c>
      <c r="AH301" s="66"/>
      <c r="AI301" s="66"/>
      <c r="AJ301" s="66"/>
      <c r="AK301" s="66"/>
      <c r="AL301" s="117">
        <f>AL302</f>
        <v>484970.56823214283</v>
      </c>
      <c r="AM301" s="64">
        <f>AL301*1.12</f>
        <v>543167.03642000002</v>
      </c>
      <c r="AN301" s="66"/>
      <c r="AO301" s="64">
        <f>AL301-($AI$298/$AK$297*$AN$300)</f>
        <v>-241223.48781505483</v>
      </c>
      <c r="AP301" s="64">
        <f>AM301-($AJ$298/$AK$297*$AN$300)</f>
        <v>-270170.30635286146</v>
      </c>
      <c r="AQ301" s="62"/>
      <c r="AR301" s="189">
        <f>IF($AI$298=0,"",AL301/($AI$298/$AK$297*AN300))</f>
        <v>0.66782503133105109</v>
      </c>
      <c r="AS301" s="63"/>
      <c r="AT301" s="63">
        <f>AL301</f>
        <v>484970.56823214283</v>
      </c>
      <c r="AU301" s="63"/>
      <c r="AV301" s="64">
        <f>AV300</f>
        <v>199176.46122500522</v>
      </c>
      <c r="AW301" s="64">
        <f>AV301*1.12</f>
        <v>223077.63657200587</v>
      </c>
      <c r="AX301" s="62"/>
      <c r="AY301" s="62"/>
      <c r="AZ301" s="62"/>
      <c r="BA301" s="62"/>
      <c r="BB301" s="62"/>
      <c r="BC301" s="62"/>
      <c r="BD301" s="62"/>
      <c r="BE301" s="62"/>
      <c r="BF301" s="62"/>
      <c r="BG301" s="62"/>
      <c r="BH301" s="62"/>
      <c r="BI301" s="62"/>
      <c r="BJ301" s="62"/>
      <c r="BK301" s="62"/>
      <c r="BL301" s="62"/>
      <c r="BM301" s="59"/>
      <c r="BN301" s="59"/>
      <c r="BO301" s="59"/>
      <c r="BP301" s="59"/>
      <c r="BQ301" s="59"/>
      <c r="BR301" s="59"/>
      <c r="BS301" s="59"/>
      <c r="BT301" s="59"/>
      <c r="BU301" s="57"/>
      <c r="BV301" s="57"/>
      <c r="BW301" s="188"/>
      <c r="BX301" s="188"/>
    </row>
    <row r="302" spans="1:76" ht="17.25" customHeight="1" x14ac:dyDescent="0.25">
      <c r="A302" s="200"/>
      <c r="B302" s="191"/>
      <c r="C302" s="187" t="s">
        <v>6</v>
      </c>
      <c r="D302" s="187" t="s">
        <v>5</v>
      </c>
      <c r="E302" s="186"/>
      <c r="F302" s="186">
        <f>E302*1.12</f>
        <v>0</v>
      </c>
      <c r="G302" s="197"/>
      <c r="H302" s="196"/>
      <c r="I302" s="183"/>
      <c r="J302" s="183">
        <f>I302*1.12</f>
        <v>0</v>
      </c>
      <c r="K302" s="234"/>
      <c r="L302" s="234"/>
      <c r="M302" s="181"/>
      <c r="N302" s="50">
        <f>P302</f>
        <v>485252782.7589286</v>
      </c>
      <c r="O302" s="50">
        <f>Q302</f>
        <v>543483116.69000006</v>
      </c>
      <c r="P302" s="50">
        <f>Q302/1.12</f>
        <v>485252782.7589286</v>
      </c>
      <c r="Q302" s="180">
        <f>Q301</f>
        <v>543483116.69000006</v>
      </c>
      <c r="R302" s="56"/>
      <c r="S302" s="179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7">
        <f>AC302*1.12</f>
        <v>0</v>
      </c>
      <c r="AE302" s="46"/>
      <c r="AF302" s="46">
        <f>AC302+Z302+W302+T302</f>
        <v>0</v>
      </c>
      <c r="AG302" s="46">
        <f>AD302+AA302+X302+U302</f>
        <v>0</v>
      </c>
      <c r="AH302" s="46"/>
      <c r="AI302" s="46"/>
      <c r="AJ302" s="46"/>
      <c r="AK302" s="46"/>
      <c r="AL302" s="225">
        <f>74057.99603/1.12+124647.86056/1.12+76139.5908/1.12+34000/1.12+125784.20672/1.12+108537.38231/1.12</f>
        <v>484970.56823214283</v>
      </c>
      <c r="AM302" s="41">
        <f>AL302*1.12</f>
        <v>543167.03642000002</v>
      </c>
      <c r="AN302" s="46"/>
      <c r="AO302" s="44">
        <f>AL302-($AI$299/$AK$297*$AN$300)</f>
        <v>-241223.48781505483</v>
      </c>
      <c r="AP302" s="44">
        <f>AM302-($AJ$299/$AK$297*$AN$300)</f>
        <v>-270170.30635286146</v>
      </c>
      <c r="AQ302" s="41"/>
      <c r="AR302" s="178">
        <f>AR301</f>
        <v>0.66782503133105109</v>
      </c>
      <c r="AS302" s="42"/>
      <c r="AT302" s="42">
        <f>AL302</f>
        <v>484970.56823214283</v>
      </c>
      <c r="AU302" s="42"/>
      <c r="AV302" s="44">
        <f>AV301</f>
        <v>199176.46122500522</v>
      </c>
      <c r="AW302" s="44">
        <f>AV302*1.12</f>
        <v>223077.63657200587</v>
      </c>
      <c r="AX302" s="41"/>
      <c r="AY302" s="41"/>
      <c r="AZ302" s="41"/>
      <c r="BA302" s="41"/>
      <c r="BB302" s="41"/>
      <c r="BC302" s="41"/>
      <c r="BD302" s="41"/>
      <c r="BE302" s="41"/>
      <c r="BF302" s="62"/>
      <c r="BG302" s="41"/>
      <c r="BH302" s="41"/>
      <c r="BI302" s="41"/>
      <c r="BJ302" s="41"/>
      <c r="BK302" s="41"/>
      <c r="BL302" s="41"/>
      <c r="BM302" s="39"/>
      <c r="BN302" s="39"/>
      <c r="BO302" s="39"/>
      <c r="BP302" s="39"/>
      <c r="BQ302" s="39"/>
      <c r="BR302" s="39"/>
      <c r="BS302" s="39"/>
      <c r="BT302" s="39"/>
      <c r="BW302" s="188"/>
      <c r="BX302" s="188"/>
    </row>
    <row r="303" spans="1:76" ht="17.25" customHeight="1" x14ac:dyDescent="0.25">
      <c r="A303" s="200"/>
      <c r="B303" s="191"/>
      <c r="C303" s="214" t="s">
        <v>9</v>
      </c>
      <c r="D303" s="214" t="s">
        <v>8</v>
      </c>
      <c r="E303" s="213"/>
      <c r="F303" s="213">
        <f>E303*1.12</f>
        <v>0</v>
      </c>
      <c r="G303" s="197"/>
      <c r="H303" s="196"/>
      <c r="I303" s="212"/>
      <c r="J303" s="212">
        <f>I303*1.12</f>
        <v>0</v>
      </c>
      <c r="K303" s="238" t="s">
        <v>37</v>
      </c>
      <c r="L303" s="237" t="s">
        <v>48</v>
      </c>
      <c r="M303" s="211" t="s">
        <v>13</v>
      </c>
      <c r="N303" s="210">
        <f>P303</f>
        <v>322716656.4910714</v>
      </c>
      <c r="O303" s="210">
        <f>Q303</f>
        <v>361442655.26999998</v>
      </c>
      <c r="P303" s="210">
        <f>Q303/1.12</f>
        <v>322716656.4910714</v>
      </c>
      <c r="Q303" s="209">
        <v>361442655.26999998</v>
      </c>
      <c r="R303" s="73" t="s">
        <v>45</v>
      </c>
      <c r="S303" s="208">
        <v>137</v>
      </c>
      <c r="T303" s="206"/>
      <c r="U303" s="206"/>
      <c r="V303" s="206"/>
      <c r="W303" s="206"/>
      <c r="X303" s="206"/>
      <c r="Y303" s="206"/>
      <c r="Z303" s="206"/>
      <c r="AA303" s="206"/>
      <c r="AB303" s="206"/>
      <c r="AC303" s="206"/>
      <c r="AD303" s="207">
        <f>AC303*1.12</f>
        <v>0</v>
      </c>
      <c r="AE303" s="206"/>
      <c r="AF303" s="206">
        <f>Z303+AC303+W303+T303</f>
        <v>0</v>
      </c>
      <c r="AG303" s="206">
        <f>AA303+AD303+X303+U303</f>
        <v>0</v>
      </c>
      <c r="AH303" s="206">
        <f>AB303+AE303+Y303+V303</f>
        <v>0</v>
      </c>
      <c r="AI303" s="206"/>
      <c r="AJ303" s="206"/>
      <c r="AK303" s="206"/>
      <c r="AL303" s="206">
        <v>325321</v>
      </c>
      <c r="AM303" s="203">
        <f>AL303*1.12</f>
        <v>364359.52</v>
      </c>
      <c r="AN303" s="206">
        <f>23+23+23+21+21+26</f>
        <v>137</v>
      </c>
      <c r="AO303" s="203">
        <f>AL303-($AI$297/$AK$297*$AN$303)</f>
        <v>-252092.98082595877</v>
      </c>
      <c r="AP303" s="203">
        <f>AM303-($AJ$297/$AK$297*$AN$303)</f>
        <v>-282344.13852507377</v>
      </c>
      <c r="AQ303" s="203">
        <f>AN303-S303</f>
        <v>0</v>
      </c>
      <c r="AR303" s="205">
        <f>IF($AI$297=0,"",AL303/($AI$297/$AK$297*AN303))</f>
        <v>0.5634103274303236</v>
      </c>
      <c r="AS303" s="204"/>
      <c r="AT303" s="204"/>
      <c r="AU303" s="204"/>
      <c r="AV303" s="203">
        <f>P303/1000+AZ303</f>
        <v>70623.67566511262</v>
      </c>
      <c r="AW303" s="203">
        <f>AV303*1.12</f>
        <v>79098.516744926135</v>
      </c>
      <c r="AX303" s="203">
        <f>S303</f>
        <v>137</v>
      </c>
      <c r="AY303" s="203"/>
      <c r="AZ303" s="203">
        <f>AL303-($AI$297/$AK$297*AN303)</f>
        <v>-252092.98082595877</v>
      </c>
      <c r="BA303" s="203"/>
      <c r="BB303" s="203"/>
      <c r="BC303" s="203"/>
      <c r="BD303" s="203"/>
      <c r="BE303" s="203"/>
      <c r="BF303" s="203"/>
      <c r="BG303" s="203"/>
      <c r="BH303" s="203"/>
      <c r="BI303" s="203"/>
      <c r="BJ303" s="203"/>
      <c r="BK303" s="203"/>
      <c r="BL303" s="203"/>
      <c r="BM303" s="202"/>
      <c r="BN303" s="202"/>
      <c r="BO303" s="202"/>
      <c r="BP303" s="202"/>
      <c r="BQ303" s="202"/>
      <c r="BR303" s="202"/>
      <c r="BS303" s="202"/>
      <c r="BT303" s="202"/>
      <c r="BU303" s="201"/>
      <c r="BV303" s="201"/>
      <c r="BW303" s="188"/>
      <c r="BX303" s="188"/>
    </row>
    <row r="304" spans="1:76" ht="17.25" customHeight="1" x14ac:dyDescent="0.25">
      <c r="A304" s="200"/>
      <c r="B304" s="191"/>
      <c r="C304" s="199" t="s">
        <v>6</v>
      </c>
      <c r="D304" s="199" t="s">
        <v>26</v>
      </c>
      <c r="E304" s="198"/>
      <c r="F304" s="198">
        <f>E304*1.12</f>
        <v>0</v>
      </c>
      <c r="G304" s="197"/>
      <c r="H304" s="196"/>
      <c r="I304" s="195"/>
      <c r="J304" s="195">
        <f>I304*1.12</f>
        <v>0</v>
      </c>
      <c r="K304" s="236"/>
      <c r="L304" s="235"/>
      <c r="M304" s="193"/>
      <c r="N304" s="50">
        <f>P304</f>
        <v>322716656.4910714</v>
      </c>
      <c r="O304" s="50">
        <f>Q304</f>
        <v>361442655.26999998</v>
      </c>
      <c r="P304" s="51">
        <f>Q304/1.12</f>
        <v>322716656.4910714</v>
      </c>
      <c r="Q304" s="192">
        <f>Q303</f>
        <v>361442655.26999998</v>
      </c>
      <c r="R304" s="191"/>
      <c r="S304" s="190"/>
      <c r="T304" s="66"/>
      <c r="U304" s="66"/>
      <c r="V304" s="66"/>
      <c r="W304" s="66"/>
      <c r="X304" s="66"/>
      <c r="Y304" s="66"/>
      <c r="Z304" s="66"/>
      <c r="AA304" s="66"/>
      <c r="AB304" s="66"/>
      <c r="AC304" s="117">
        <f>AC305</f>
        <v>0</v>
      </c>
      <c r="AD304" s="229">
        <f>AC304*1.12</f>
        <v>0</v>
      </c>
      <c r="AE304" s="66"/>
      <c r="AF304" s="66">
        <f>AC304+Z304+W304+T304</f>
        <v>0</v>
      </c>
      <c r="AG304" s="66">
        <f>AD304+AA304+X304+U304</f>
        <v>0</v>
      </c>
      <c r="AH304" s="66"/>
      <c r="AI304" s="66"/>
      <c r="AJ304" s="66"/>
      <c r="AK304" s="66"/>
      <c r="AL304" s="117">
        <f>AL305</f>
        <v>221106.3582053571</v>
      </c>
      <c r="AM304" s="64">
        <f>AL304*1.12</f>
        <v>247639.12118999998</v>
      </c>
      <c r="AN304" s="66"/>
      <c r="AO304" s="64">
        <f>AL304-($AI$298/$AK$297*$AN$303)</f>
        <v>-261847.94120467239</v>
      </c>
      <c r="AP304" s="64">
        <f>AM304-($AJ$298/$AK$297*$AN$303)</f>
        <v>-293269.69414923317</v>
      </c>
      <c r="AQ304" s="62"/>
      <c r="AR304" s="189">
        <f>IF($AI$298=0,"",AL304/($AI$298/$AK$297*AN303))</f>
        <v>0.45782045728852122</v>
      </c>
      <c r="AS304" s="63"/>
      <c r="AT304" s="63">
        <f>AL304</f>
        <v>221106.3582053571</v>
      </c>
      <c r="AU304" s="63"/>
      <c r="AV304" s="64">
        <f>AV303</f>
        <v>70623.67566511262</v>
      </c>
      <c r="AW304" s="64">
        <f>AV304*1.12</f>
        <v>79098.516744926135</v>
      </c>
      <c r="AX304" s="62"/>
      <c r="AY304" s="62"/>
      <c r="AZ304" s="62"/>
      <c r="BA304" s="62"/>
      <c r="BB304" s="62"/>
      <c r="BC304" s="62"/>
      <c r="BD304" s="62"/>
      <c r="BE304" s="62"/>
      <c r="BF304" s="62"/>
      <c r="BG304" s="62"/>
      <c r="BH304" s="62"/>
      <c r="BI304" s="62"/>
      <c r="BJ304" s="62"/>
      <c r="BK304" s="62"/>
      <c r="BL304" s="62"/>
      <c r="BM304" s="59"/>
      <c r="BN304" s="59"/>
      <c r="BO304" s="59"/>
      <c r="BP304" s="59"/>
      <c r="BQ304" s="59"/>
      <c r="BR304" s="59"/>
      <c r="BS304" s="59"/>
      <c r="BT304" s="59"/>
      <c r="BU304" s="57"/>
      <c r="BV304" s="57"/>
      <c r="BW304" s="188"/>
      <c r="BX304" s="188"/>
    </row>
    <row r="305" spans="1:76" ht="17.25" customHeight="1" x14ac:dyDescent="0.25">
      <c r="A305" s="200"/>
      <c r="B305" s="191"/>
      <c r="C305" s="187" t="s">
        <v>6</v>
      </c>
      <c r="D305" s="187" t="s">
        <v>5</v>
      </c>
      <c r="E305" s="186"/>
      <c r="F305" s="186">
        <f>E305*1.12</f>
        <v>0</v>
      </c>
      <c r="G305" s="197"/>
      <c r="H305" s="196"/>
      <c r="I305" s="183"/>
      <c r="J305" s="183">
        <f>I305*1.12</f>
        <v>0</v>
      </c>
      <c r="K305" s="234"/>
      <c r="L305" s="233"/>
      <c r="M305" s="181"/>
      <c r="N305" s="50">
        <f>P305</f>
        <v>322716656.4910714</v>
      </c>
      <c r="O305" s="50">
        <f>Q305</f>
        <v>361442655.26999998</v>
      </c>
      <c r="P305" s="50">
        <f>Q305/1.12</f>
        <v>322716656.4910714</v>
      </c>
      <c r="Q305" s="180">
        <f>Q304</f>
        <v>361442655.26999998</v>
      </c>
      <c r="R305" s="56"/>
      <c r="S305" s="179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7">
        <f>AC305*1.12</f>
        <v>0</v>
      </c>
      <c r="AE305" s="46"/>
      <c r="AF305" s="46">
        <f>AC305+Z305+W305+T305</f>
        <v>0</v>
      </c>
      <c r="AG305" s="46">
        <f>AD305+AA305+X305+U305</f>
        <v>0</v>
      </c>
      <c r="AH305" s="46"/>
      <c r="AI305" s="46"/>
      <c r="AJ305" s="46"/>
      <c r="AK305" s="46"/>
      <c r="AL305" s="239">
        <f>43428.18611/1.12+43631.653/1.12+39320.32057/1.12+18000/1.12+55996.36373/1.12+47262.59778/1.12</f>
        <v>221106.3582053571</v>
      </c>
      <c r="AM305" s="41">
        <f>AL305*1.12</f>
        <v>247639.12118999998</v>
      </c>
      <c r="AN305" s="46"/>
      <c r="AO305" s="44">
        <f>AL305-($AI$299/$AK$297*$AN$303)</f>
        <v>-261847.94120467239</v>
      </c>
      <c r="AP305" s="44">
        <f>AM305-($AJ$299/$AK$297*$AN$303)</f>
        <v>-293269.69414923317</v>
      </c>
      <c r="AQ305" s="41"/>
      <c r="AR305" s="178">
        <f>AR304</f>
        <v>0.45782045728852122</v>
      </c>
      <c r="AS305" s="42"/>
      <c r="AT305" s="42">
        <f>AL305</f>
        <v>221106.3582053571</v>
      </c>
      <c r="AU305" s="42"/>
      <c r="AV305" s="44">
        <f>AV304</f>
        <v>70623.67566511262</v>
      </c>
      <c r="AW305" s="44">
        <f>AV305*1.12</f>
        <v>79098.516744926135</v>
      </c>
      <c r="AX305" s="41"/>
      <c r="AY305" s="41"/>
      <c r="AZ305" s="41"/>
      <c r="BA305" s="41"/>
      <c r="BB305" s="41"/>
      <c r="BC305" s="41"/>
      <c r="BD305" s="41"/>
      <c r="BE305" s="41"/>
      <c r="BF305" s="62"/>
      <c r="BG305" s="41"/>
      <c r="BH305" s="41"/>
      <c r="BI305" s="41"/>
      <c r="BJ305" s="41"/>
      <c r="BK305" s="41"/>
      <c r="BL305" s="41"/>
      <c r="BM305" s="39"/>
      <c r="BN305" s="39"/>
      <c r="BO305" s="39"/>
      <c r="BP305" s="39"/>
      <c r="BQ305" s="39"/>
      <c r="BR305" s="39"/>
      <c r="BS305" s="39"/>
      <c r="BT305" s="39"/>
      <c r="BW305" s="188"/>
      <c r="BX305" s="188"/>
    </row>
    <row r="306" spans="1:76" ht="17.25" customHeight="1" x14ac:dyDescent="0.25">
      <c r="A306" s="200"/>
      <c r="B306" s="191"/>
      <c r="C306" s="214" t="s">
        <v>9</v>
      </c>
      <c r="D306" s="214" t="s">
        <v>8</v>
      </c>
      <c r="E306" s="213"/>
      <c r="F306" s="213">
        <f>E306*1.12</f>
        <v>0</v>
      </c>
      <c r="G306" s="197"/>
      <c r="H306" s="196"/>
      <c r="I306" s="212"/>
      <c r="J306" s="212">
        <f>I306*1.12</f>
        <v>0</v>
      </c>
      <c r="K306" s="238" t="s">
        <v>47</v>
      </c>
      <c r="L306" s="237" t="s">
        <v>46</v>
      </c>
      <c r="M306" s="211" t="s">
        <v>13</v>
      </c>
      <c r="N306" s="210">
        <f>P306</f>
        <v>501741954.9910714</v>
      </c>
      <c r="O306" s="210">
        <f>Q306</f>
        <v>561950989.59000003</v>
      </c>
      <c r="P306" s="210">
        <f>Q306/1.12</f>
        <v>501741954.9910714</v>
      </c>
      <c r="Q306" s="209">
        <v>561950989.59000003</v>
      </c>
      <c r="R306" s="73" t="s">
        <v>45</v>
      </c>
      <c r="S306" s="208">
        <v>213</v>
      </c>
      <c r="T306" s="206"/>
      <c r="U306" s="206"/>
      <c r="V306" s="206"/>
      <c r="W306" s="206"/>
      <c r="X306" s="206"/>
      <c r="Y306" s="206"/>
      <c r="Z306" s="206"/>
      <c r="AA306" s="206"/>
      <c r="AB306" s="206"/>
      <c r="AC306" s="206"/>
      <c r="AD306" s="207">
        <f>AC306*1.12</f>
        <v>0</v>
      </c>
      <c r="AE306" s="206"/>
      <c r="AF306" s="206">
        <f>Z306+AC306+W306+T306</f>
        <v>0</v>
      </c>
      <c r="AG306" s="206">
        <f>AA306+AD306+X306+U306</f>
        <v>0</v>
      </c>
      <c r="AH306" s="206">
        <f>AB306+AE306+Y306+V306</f>
        <v>0</v>
      </c>
      <c r="AI306" s="206"/>
      <c r="AJ306" s="206"/>
      <c r="AK306" s="206"/>
      <c r="AL306" s="206">
        <f>581747</f>
        <v>581747</v>
      </c>
      <c r="AM306" s="203">
        <f>AL306*1.12</f>
        <v>651556.64</v>
      </c>
      <c r="AN306" s="206">
        <f>36+36+36+31+31+43</f>
        <v>213</v>
      </c>
      <c r="AO306" s="203">
        <f>AL306-($AI$297/$AK$297*$AN$306)</f>
        <v>-315984.2256637169</v>
      </c>
      <c r="AP306" s="203">
        <f>AM306-($AJ$297/$AK$297*$AN$306)</f>
        <v>-353902.33274336287</v>
      </c>
      <c r="AQ306" s="203">
        <f>AN306-S306</f>
        <v>0</v>
      </c>
      <c r="AR306" s="205">
        <f>IF($AI$297=0,"",AL306/($AI$297/$AK$297*AN306))</f>
        <v>0.64801912127975581</v>
      </c>
      <c r="AS306" s="204"/>
      <c r="AT306" s="204"/>
      <c r="AU306" s="204"/>
      <c r="AV306" s="203">
        <f>P306/1000+AZ306</f>
        <v>185757.72932735452</v>
      </c>
      <c r="AW306" s="203">
        <f>AV306*1.12</f>
        <v>208048.65684663708</v>
      </c>
      <c r="AX306" s="203">
        <f>S306</f>
        <v>213</v>
      </c>
      <c r="AY306" s="203"/>
      <c r="AZ306" s="203">
        <f>AL306-($AI$297/$AK$297*AN306)</f>
        <v>-315984.2256637169</v>
      </c>
      <c r="BA306" s="203"/>
      <c r="BB306" s="203"/>
      <c r="BC306" s="203"/>
      <c r="BD306" s="203"/>
      <c r="BE306" s="203"/>
      <c r="BF306" s="203"/>
      <c r="BG306" s="203"/>
      <c r="BH306" s="203"/>
      <c r="BI306" s="203"/>
      <c r="BJ306" s="203"/>
      <c r="BK306" s="203"/>
      <c r="BL306" s="203"/>
      <c r="BM306" s="202"/>
      <c r="BN306" s="202"/>
      <c r="BO306" s="202"/>
      <c r="BP306" s="202"/>
      <c r="BQ306" s="202"/>
      <c r="BR306" s="202"/>
      <c r="BS306" s="202"/>
      <c r="BT306" s="202"/>
      <c r="BU306" s="201"/>
      <c r="BV306" s="201"/>
      <c r="BW306" s="188"/>
      <c r="BX306" s="188"/>
    </row>
    <row r="307" spans="1:76" ht="17.25" customHeight="1" x14ac:dyDescent="0.25">
      <c r="A307" s="200"/>
      <c r="B307" s="191"/>
      <c r="C307" s="199" t="s">
        <v>6</v>
      </c>
      <c r="D307" s="199" t="s">
        <v>26</v>
      </c>
      <c r="E307" s="198"/>
      <c r="F307" s="198">
        <f>E307*1.12</f>
        <v>0</v>
      </c>
      <c r="G307" s="197"/>
      <c r="H307" s="196"/>
      <c r="I307" s="195"/>
      <c r="J307" s="195">
        <f>I307*1.12</f>
        <v>0</v>
      </c>
      <c r="K307" s="236"/>
      <c r="L307" s="235"/>
      <c r="M307" s="193"/>
      <c r="N307" s="50">
        <f>P307</f>
        <v>501741954.9910714</v>
      </c>
      <c r="O307" s="50">
        <f>Q307</f>
        <v>561950989.59000003</v>
      </c>
      <c r="P307" s="51">
        <f>Q307/1.12</f>
        <v>501741954.9910714</v>
      </c>
      <c r="Q307" s="192">
        <f>Q306</f>
        <v>561950989.59000003</v>
      </c>
      <c r="R307" s="191"/>
      <c r="S307" s="190"/>
      <c r="T307" s="66"/>
      <c r="U307" s="66"/>
      <c r="V307" s="66"/>
      <c r="W307" s="66"/>
      <c r="X307" s="66"/>
      <c r="Y307" s="66"/>
      <c r="Z307" s="66"/>
      <c r="AA307" s="66"/>
      <c r="AB307" s="66"/>
      <c r="AC307" s="117">
        <f>AC308</f>
        <v>0</v>
      </c>
      <c r="AD307" s="229">
        <f>AC307*1.12</f>
        <v>0</v>
      </c>
      <c r="AE307" s="66"/>
      <c r="AF307" s="66">
        <f>AC307+Z307+W307+T307</f>
        <v>0</v>
      </c>
      <c r="AG307" s="66">
        <f>AD307+AA307+X307+U307</f>
        <v>0</v>
      </c>
      <c r="AH307" s="66"/>
      <c r="AI307" s="66"/>
      <c r="AJ307" s="66"/>
      <c r="AK307" s="66"/>
      <c r="AL307" s="117">
        <f>AL308</f>
        <v>452267.57800892851</v>
      </c>
      <c r="AM307" s="64">
        <f>AL307*1.12</f>
        <v>506539.68737</v>
      </c>
      <c r="AN307" s="66"/>
      <c r="AO307" s="64">
        <f>AL307-($AI$298/$AK$297*$AN$306)</f>
        <v>-298602.97508841666</v>
      </c>
      <c r="AP307" s="64">
        <f>AM307-($AJ$298/$AK$297*$AN$306)</f>
        <v>-334435.33209902659</v>
      </c>
      <c r="AQ307" s="62"/>
      <c r="AR307" s="189">
        <f>IF($AI$298=0,"",AL307/($AI$298/$AK$297*AN306))</f>
        <v>0.60232429696879475</v>
      </c>
      <c r="AS307" s="63"/>
      <c r="AT307" s="63">
        <f>AL307</f>
        <v>452267.57800892851</v>
      </c>
      <c r="AU307" s="63"/>
      <c r="AV307" s="64">
        <f>AV306</f>
        <v>185757.72932735452</v>
      </c>
      <c r="AW307" s="64">
        <f>AV307*1.12</f>
        <v>208048.65684663708</v>
      </c>
      <c r="AX307" s="62"/>
      <c r="AY307" s="62"/>
      <c r="AZ307" s="62"/>
      <c r="BA307" s="62"/>
      <c r="BB307" s="62"/>
      <c r="BC307" s="62"/>
      <c r="BD307" s="62"/>
      <c r="BE307" s="62"/>
      <c r="BF307" s="62"/>
      <c r="BG307" s="62"/>
      <c r="BH307" s="62"/>
      <c r="BI307" s="62"/>
      <c r="BJ307" s="62"/>
      <c r="BK307" s="62"/>
      <c r="BL307" s="62"/>
      <c r="BM307" s="59"/>
      <c r="BN307" s="59"/>
      <c r="BO307" s="59"/>
      <c r="BP307" s="59"/>
      <c r="BQ307" s="59"/>
      <c r="BR307" s="59"/>
      <c r="BS307" s="59"/>
      <c r="BT307" s="59"/>
      <c r="BU307" s="57"/>
      <c r="BV307" s="57"/>
      <c r="BW307" s="188"/>
      <c r="BX307" s="188"/>
    </row>
    <row r="308" spans="1:76" ht="17.25" customHeight="1" x14ac:dyDescent="0.25">
      <c r="A308" s="200"/>
      <c r="B308" s="191"/>
      <c r="C308" s="187" t="s">
        <v>6</v>
      </c>
      <c r="D308" s="187" t="s">
        <v>5</v>
      </c>
      <c r="E308" s="186"/>
      <c r="F308" s="186">
        <f>E308*1.12</f>
        <v>0</v>
      </c>
      <c r="G308" s="197"/>
      <c r="H308" s="196"/>
      <c r="I308" s="183"/>
      <c r="J308" s="183">
        <f>I308*1.12</f>
        <v>0</v>
      </c>
      <c r="K308" s="234"/>
      <c r="L308" s="233"/>
      <c r="M308" s="181"/>
      <c r="N308" s="50">
        <f>P308</f>
        <v>501741954.9910714</v>
      </c>
      <c r="O308" s="50">
        <f>Q308</f>
        <v>561950989.59000003</v>
      </c>
      <c r="P308" s="50">
        <f>Q308/1.12</f>
        <v>501741954.9910714</v>
      </c>
      <c r="Q308" s="180">
        <f>Q307</f>
        <v>561950989.59000003</v>
      </c>
      <c r="R308" s="56"/>
      <c r="S308" s="179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7">
        <f>AC308*1.12</f>
        <v>0</v>
      </c>
      <c r="AE308" s="46"/>
      <c r="AF308" s="46">
        <f>AC308+Z308+W308+T308</f>
        <v>0</v>
      </c>
      <c r="AG308" s="46">
        <f>AD308+AA308+X308+U308</f>
        <v>0</v>
      </c>
      <c r="AH308" s="46"/>
      <c r="AI308" s="46"/>
      <c r="AJ308" s="46"/>
      <c r="AK308" s="46"/>
      <c r="AL308" s="225">
        <f>88606.94177/1.12+87362.70876/1.12+86520.91261/1.12+38000/1.12+119520.91375/1.12+86528.21048/1.12</f>
        <v>452267.57800892851</v>
      </c>
      <c r="AM308" s="41">
        <f>AL308*1.12</f>
        <v>506539.68737</v>
      </c>
      <c r="AN308" s="46"/>
      <c r="AO308" s="44">
        <f>AL308-($AI$299/$AK$297*$AN$306)</f>
        <v>-298602.97508841666</v>
      </c>
      <c r="AP308" s="44">
        <f>AM308-($AJ$299/$AK$297*$AN$306)</f>
        <v>-334435.33209902659</v>
      </c>
      <c r="AQ308" s="41"/>
      <c r="AR308" s="178">
        <f>AR307</f>
        <v>0.60232429696879475</v>
      </c>
      <c r="AS308" s="42"/>
      <c r="AT308" s="42">
        <f>AL308</f>
        <v>452267.57800892851</v>
      </c>
      <c r="AU308" s="42"/>
      <c r="AV308" s="44">
        <f>AV307</f>
        <v>185757.72932735452</v>
      </c>
      <c r="AW308" s="44">
        <f>AV308*1.12</f>
        <v>208048.65684663708</v>
      </c>
      <c r="AX308" s="41"/>
      <c r="AY308" s="41"/>
      <c r="AZ308" s="41"/>
      <c r="BA308" s="41"/>
      <c r="BB308" s="41"/>
      <c r="BC308" s="41"/>
      <c r="BD308" s="41"/>
      <c r="BE308" s="41"/>
      <c r="BF308" s="62"/>
      <c r="BG308" s="41"/>
      <c r="BH308" s="41"/>
      <c r="BI308" s="41"/>
      <c r="BJ308" s="41"/>
      <c r="BK308" s="41"/>
      <c r="BL308" s="41"/>
      <c r="BM308" s="39"/>
      <c r="BN308" s="39"/>
      <c r="BO308" s="39"/>
      <c r="BP308" s="39"/>
      <c r="BQ308" s="39"/>
      <c r="BR308" s="39"/>
      <c r="BS308" s="39"/>
      <c r="BT308" s="39"/>
      <c r="BW308" s="188"/>
      <c r="BX308" s="188"/>
    </row>
    <row r="309" spans="1:76" ht="27" customHeight="1" x14ac:dyDescent="0.25">
      <c r="A309" s="200"/>
      <c r="B309" s="191"/>
      <c r="C309" s="214" t="s">
        <v>9</v>
      </c>
      <c r="D309" s="214" t="s">
        <v>8</v>
      </c>
      <c r="E309" s="213"/>
      <c r="F309" s="213">
        <f>E309*1.12</f>
        <v>0</v>
      </c>
      <c r="G309" s="197"/>
      <c r="H309" s="196"/>
      <c r="I309" s="212"/>
      <c r="J309" s="212">
        <f>I309*1.12</f>
        <v>0</v>
      </c>
      <c r="K309" s="118" t="s">
        <v>44</v>
      </c>
      <c r="L309" s="228" t="s">
        <v>43</v>
      </c>
      <c r="M309" s="211" t="s">
        <v>13</v>
      </c>
      <c r="N309" s="210">
        <f>P309</f>
        <v>3533394044.9999995</v>
      </c>
      <c r="O309" s="210">
        <f>Q309</f>
        <v>3957401330.3999996</v>
      </c>
      <c r="P309" s="210">
        <f>Q309/1.12</f>
        <v>3533394044.9999995</v>
      </c>
      <c r="Q309" s="209">
        <f>489989212.16+3467412118.24</f>
        <v>3957401330.3999996</v>
      </c>
      <c r="R309" s="73" t="s">
        <v>38</v>
      </c>
      <c r="S309" s="208">
        <v>1500</v>
      </c>
      <c r="T309" s="206"/>
      <c r="U309" s="206"/>
      <c r="V309" s="206"/>
      <c r="W309" s="206"/>
      <c r="X309" s="206"/>
      <c r="Y309" s="206"/>
      <c r="Z309" s="206"/>
      <c r="AA309" s="206"/>
      <c r="AB309" s="206"/>
      <c r="AC309" s="206"/>
      <c r="AD309" s="207">
        <f>AC309*1.12</f>
        <v>0</v>
      </c>
      <c r="AE309" s="206"/>
      <c r="AF309" s="206">
        <f>Z309+AC309+W309+T309</f>
        <v>0</v>
      </c>
      <c r="AG309" s="206">
        <f>AA309+AD309+X309+U309</f>
        <v>0</v>
      </c>
      <c r="AH309" s="206">
        <f>AB309+AE309+Y309+V309</f>
        <v>0</v>
      </c>
      <c r="AI309" s="206"/>
      <c r="AJ309" s="206"/>
      <c r="AK309" s="206"/>
      <c r="AL309" s="206">
        <v>4634317</v>
      </c>
      <c r="AM309" s="203">
        <f>AL309*1.12</f>
        <v>5190435.04</v>
      </c>
      <c r="AN309" s="206">
        <f>136+136+142+114+107+99+158+145+121+137+106+99</f>
        <v>1500</v>
      </c>
      <c r="AO309" s="203">
        <f>AL309-($AI$297/$AK$297*$AN$309)</f>
        <v>-1687733.8849557526</v>
      </c>
      <c r="AP309" s="203">
        <f>AM309-($AJ$297/$AK$297*$AN$309)</f>
        <v>-1890261.9511504425</v>
      </c>
      <c r="AQ309" s="203">
        <f>AN309-S309</f>
        <v>0</v>
      </c>
      <c r="AR309" s="205">
        <f>IF($AI$297=0,"",AL309/($AI$297/$AK$297*AN309))</f>
        <v>0.73304012959276188</v>
      </c>
      <c r="AS309" s="204"/>
      <c r="AT309" s="204"/>
      <c r="AU309" s="204"/>
      <c r="AV309" s="213">
        <f>P309/1000+AZ309</f>
        <v>1845660.1600442468</v>
      </c>
      <c r="AW309" s="203">
        <f>AV309*1.12</f>
        <v>2067139.3792495567</v>
      </c>
      <c r="AX309" s="203">
        <f>S309</f>
        <v>1500</v>
      </c>
      <c r="AY309" s="203"/>
      <c r="AZ309" s="203">
        <f>AL309-($AI$297/$AK$297*AN309)</f>
        <v>-1687733.8849557526</v>
      </c>
      <c r="BA309" s="203"/>
      <c r="BB309" s="203"/>
      <c r="BC309" s="203"/>
      <c r="BD309" s="203"/>
      <c r="BE309" s="203"/>
      <c r="BF309" s="203"/>
      <c r="BG309" s="203"/>
      <c r="BH309" s="203"/>
      <c r="BI309" s="203"/>
      <c r="BJ309" s="203"/>
      <c r="BK309" s="203"/>
      <c r="BL309" s="203"/>
      <c r="BM309" s="202"/>
      <c r="BN309" s="202"/>
      <c r="BO309" s="202"/>
      <c r="BP309" s="202"/>
      <c r="BQ309" s="202"/>
      <c r="BR309" s="202"/>
      <c r="BS309" s="202"/>
      <c r="BT309" s="202"/>
      <c r="BU309" s="201"/>
      <c r="BV309" s="201"/>
      <c r="BW309" s="188"/>
      <c r="BX309" s="188"/>
    </row>
    <row r="310" spans="1:76" ht="27" customHeight="1" x14ac:dyDescent="0.25">
      <c r="A310" s="200"/>
      <c r="B310" s="191"/>
      <c r="C310" s="199" t="s">
        <v>6</v>
      </c>
      <c r="D310" s="199" t="s">
        <v>26</v>
      </c>
      <c r="E310" s="198"/>
      <c r="F310" s="198">
        <f>E310*1.12</f>
        <v>0</v>
      </c>
      <c r="G310" s="197"/>
      <c r="H310" s="196"/>
      <c r="I310" s="195"/>
      <c r="J310" s="195">
        <f>I310*1.12</f>
        <v>0</v>
      </c>
      <c r="K310" s="194"/>
      <c r="L310" s="227"/>
      <c r="M310" s="193"/>
      <c r="N310" s="50">
        <f>P310</f>
        <v>3533394044.9999995</v>
      </c>
      <c r="O310" s="50">
        <f>Q310</f>
        <v>3957401330.3999996</v>
      </c>
      <c r="P310" s="51">
        <f>Q310/1.12</f>
        <v>3533394044.9999995</v>
      </c>
      <c r="Q310" s="192">
        <f>Q309</f>
        <v>3957401330.3999996</v>
      </c>
      <c r="R310" s="191"/>
      <c r="S310" s="190"/>
      <c r="T310" s="66"/>
      <c r="U310" s="66"/>
      <c r="V310" s="66"/>
      <c r="W310" s="66"/>
      <c r="X310" s="66"/>
      <c r="Y310" s="66"/>
      <c r="Z310" s="66"/>
      <c r="AA310" s="66"/>
      <c r="AB310" s="66"/>
      <c r="AC310" s="117">
        <f>AC311</f>
        <v>0</v>
      </c>
      <c r="AD310" s="229">
        <f>AC310*1.12</f>
        <v>0</v>
      </c>
      <c r="AE310" s="66"/>
      <c r="AF310" s="66">
        <f>AC310+Z310+W310+T310</f>
        <v>0</v>
      </c>
      <c r="AG310" s="66">
        <f>AD310+AA310+X310+U310</f>
        <v>0</v>
      </c>
      <c r="AH310" s="66"/>
      <c r="AI310" s="66"/>
      <c r="AJ310" s="66"/>
      <c r="AK310" s="66"/>
      <c r="AL310" s="117">
        <f>AL311</f>
        <v>2590036.15325</v>
      </c>
      <c r="AM310" s="64">
        <f>AM311</f>
        <v>2900840.4916400001</v>
      </c>
      <c r="AN310" s="66"/>
      <c r="AO310" s="64">
        <f>AL310-($AI$298/$AK$297*$AN$309)</f>
        <v>-2697784.6432101768</v>
      </c>
      <c r="AP310" s="64">
        <f>AM310-($AJ$298/$AK$297*$AN$309)</f>
        <v>-3021518.8003953989</v>
      </c>
      <c r="AQ310" s="62"/>
      <c r="AR310" s="43">
        <f>IF($AI$297=0,"",AL310/($AI$297/$AK$297*AN309))</f>
        <v>0.40968290201734547</v>
      </c>
      <c r="AS310" s="63"/>
      <c r="AT310" s="63">
        <f>AL310</f>
        <v>2590036.15325</v>
      </c>
      <c r="AU310" s="63"/>
      <c r="AV310" s="64">
        <f>AV309</f>
        <v>1845660.1600442468</v>
      </c>
      <c r="AW310" s="64">
        <f>AV310*1.12</f>
        <v>2067139.3792495567</v>
      </c>
      <c r="AX310" s="62"/>
      <c r="AY310" s="62"/>
      <c r="AZ310" s="62"/>
      <c r="BA310" s="62"/>
      <c r="BB310" s="62"/>
      <c r="BC310" s="62"/>
      <c r="BD310" s="62"/>
      <c r="BE310" s="62"/>
      <c r="BF310" s="62"/>
      <c r="BG310" s="62"/>
      <c r="BH310" s="62"/>
      <c r="BI310" s="62"/>
      <c r="BJ310" s="62"/>
      <c r="BK310" s="62"/>
      <c r="BL310" s="62"/>
      <c r="BM310" s="59"/>
      <c r="BN310" s="59"/>
      <c r="BO310" s="231">
        <f>BO311</f>
        <v>479.03246000000001</v>
      </c>
      <c r="BP310" s="59"/>
      <c r="BQ310" s="59"/>
      <c r="BR310" s="59"/>
      <c r="BS310" s="59"/>
      <c r="BT310" s="59"/>
      <c r="BU310" s="57"/>
      <c r="BV310" s="57"/>
      <c r="BW310" s="188"/>
      <c r="BX310" s="188"/>
    </row>
    <row r="311" spans="1:76" ht="27" customHeight="1" x14ac:dyDescent="0.25">
      <c r="A311" s="200"/>
      <c r="B311" s="191"/>
      <c r="C311" s="187" t="s">
        <v>6</v>
      </c>
      <c r="D311" s="187" t="s">
        <v>5</v>
      </c>
      <c r="E311" s="186"/>
      <c r="F311" s="186">
        <f>E311*1.12</f>
        <v>0</v>
      </c>
      <c r="G311" s="197"/>
      <c r="H311" s="196"/>
      <c r="I311" s="183"/>
      <c r="J311" s="183">
        <f>I311*1.12</f>
        <v>0</v>
      </c>
      <c r="K311" s="105"/>
      <c r="L311" s="226"/>
      <c r="M311" s="181"/>
      <c r="N311" s="50">
        <f>P311</f>
        <v>3533394044.9999995</v>
      </c>
      <c r="O311" s="50">
        <f>Q311</f>
        <v>3957401330.3999996</v>
      </c>
      <c r="P311" s="50">
        <f>Q311/1.12</f>
        <v>3533394044.9999995</v>
      </c>
      <c r="Q311" s="180">
        <f>Q310</f>
        <v>3957401330.3999996</v>
      </c>
      <c r="R311" s="56"/>
      <c r="S311" s="179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7">
        <f>AC311*1.12</f>
        <v>0</v>
      </c>
      <c r="AE311" s="46"/>
      <c r="AF311" s="46">
        <f>AC311+Z311+W311+T311</f>
        <v>0</v>
      </c>
      <c r="AG311" s="46">
        <f>AD311+AA311+X311+U311</f>
        <v>0</v>
      </c>
      <c r="AH311" s="46"/>
      <c r="AI311" s="46"/>
      <c r="AJ311" s="46"/>
      <c r="AK311" s="46"/>
      <c r="AL311" s="225">
        <f>(313838.32129/1.12)+329926.00702/1.12+352211.76524/1.12+76000/1.12+285883.73694/1.12+231944.56078/1.12+174110.34366/1.12+397236.84772/1.12+338231.16753/1.12+204809.45833/1.12+196648.28313/1.12</f>
        <v>2590036.15325</v>
      </c>
      <c r="AM311" s="41">
        <f>AL311*1.12</f>
        <v>2900840.4916400001</v>
      </c>
      <c r="AN311" s="46"/>
      <c r="AO311" s="44">
        <f>AL311-($AI$299/$AK$297*$AN$309)</f>
        <v>-2697784.6432101768</v>
      </c>
      <c r="AP311" s="44">
        <f>AM311-($AJ$299/$AK$297*$AN$309)</f>
        <v>-3021518.8003953989</v>
      </c>
      <c r="AQ311" s="41"/>
      <c r="AR311" s="178">
        <f>AR310</f>
        <v>0.40968290201734547</v>
      </c>
      <c r="AS311" s="42"/>
      <c r="AT311" s="42">
        <f>AL311</f>
        <v>2590036.15325</v>
      </c>
      <c r="AU311" s="42"/>
      <c r="AV311" s="44">
        <f>AV310</f>
        <v>1845660.1600442468</v>
      </c>
      <c r="AW311" s="44">
        <f>AV311*1.12</f>
        <v>2067139.3792495567</v>
      </c>
      <c r="AX311" s="41"/>
      <c r="AY311" s="41"/>
      <c r="AZ311" s="41"/>
      <c r="BA311" s="41"/>
      <c r="BB311" s="41"/>
      <c r="BC311" s="41"/>
      <c r="BD311" s="41"/>
      <c r="BE311" s="41"/>
      <c r="BF311" s="62"/>
      <c r="BG311" s="41"/>
      <c r="BH311" s="41"/>
      <c r="BI311" s="41"/>
      <c r="BJ311" s="41"/>
      <c r="BK311" s="41"/>
      <c r="BL311" s="41"/>
      <c r="BM311" s="39"/>
      <c r="BN311" s="39"/>
      <c r="BO311" s="230">
        <v>479.03246000000001</v>
      </c>
      <c r="BP311" s="39"/>
      <c r="BQ311" s="39"/>
      <c r="BR311" s="39"/>
      <c r="BS311" s="39"/>
      <c r="BT311" s="39"/>
      <c r="BW311" s="188"/>
      <c r="BX311" s="188"/>
    </row>
    <row r="312" spans="1:76" ht="17.25" customHeight="1" x14ac:dyDescent="0.25">
      <c r="A312" s="200"/>
      <c r="B312" s="191"/>
      <c r="C312" s="214" t="s">
        <v>9</v>
      </c>
      <c r="D312" s="214" t="s">
        <v>8</v>
      </c>
      <c r="E312" s="213"/>
      <c r="F312" s="213">
        <f>E312*1.12</f>
        <v>0</v>
      </c>
      <c r="G312" s="197"/>
      <c r="H312" s="196"/>
      <c r="I312" s="212"/>
      <c r="J312" s="212">
        <f>I312*1.12</f>
        <v>0</v>
      </c>
      <c r="K312" s="118" t="s">
        <v>42</v>
      </c>
      <c r="L312" s="224" t="s">
        <v>41</v>
      </c>
      <c r="M312" s="211" t="s">
        <v>13</v>
      </c>
      <c r="N312" s="210">
        <f>P312</f>
        <v>176787482.0535714</v>
      </c>
      <c r="O312" s="210">
        <f>Q312</f>
        <v>198001979.90000001</v>
      </c>
      <c r="P312" s="210">
        <f>Q312/1.12</f>
        <v>176787482.0535714</v>
      </c>
      <c r="Q312" s="209">
        <v>198001979.90000001</v>
      </c>
      <c r="R312" s="73" t="s">
        <v>38</v>
      </c>
      <c r="S312" s="208">
        <v>79</v>
      </c>
      <c r="T312" s="206"/>
      <c r="U312" s="206"/>
      <c r="V312" s="206"/>
      <c r="W312" s="206"/>
      <c r="X312" s="206"/>
      <c r="Y312" s="206"/>
      <c r="Z312" s="206"/>
      <c r="AA312" s="206"/>
      <c r="AB312" s="206"/>
      <c r="AC312" s="206"/>
      <c r="AD312" s="207">
        <f>AC312*1.12</f>
        <v>0</v>
      </c>
      <c r="AE312" s="206"/>
      <c r="AF312" s="206">
        <f>Z312+AC312+W312+T312</f>
        <v>0</v>
      </c>
      <c r="AG312" s="206">
        <f>AA312+AD312+X312+U312</f>
        <v>0</v>
      </c>
      <c r="AH312" s="206">
        <f>AB312+AE312+Y312+V312</f>
        <v>0</v>
      </c>
      <c r="AI312" s="206"/>
      <c r="AJ312" s="206"/>
      <c r="AK312" s="206"/>
      <c r="AL312" s="206">
        <v>245656</v>
      </c>
      <c r="AM312" s="203">
        <f>AL312*1.12</f>
        <v>275134.72000000003</v>
      </c>
      <c r="AN312" s="206">
        <f>15+15+15+12+12+10</f>
        <v>79</v>
      </c>
      <c r="AO312" s="203">
        <f>AL312-($AI$297/$AK$297*$AN$312)</f>
        <v>-87305.346607669664</v>
      </c>
      <c r="AP312" s="203">
        <f>AM312-($AJ$297/$AK$297*$AN$312)</f>
        <v>-97781.988200589956</v>
      </c>
      <c r="AQ312" s="203">
        <f>AN312-S312</f>
        <v>0</v>
      </c>
      <c r="AR312" s="205">
        <f>IF($AI$297=0,"",AL312/($AI$297/$AK$297*AN312))</f>
        <v>0.73779134576079763</v>
      </c>
      <c r="AS312" s="204"/>
      <c r="AT312" s="204"/>
      <c r="AU312" s="204"/>
      <c r="AV312" s="232">
        <f>I297-AV309-AV306-AV303-AV300-AV297+(AZ297+AZ300+AZ303+AZ306+AZ309)</f>
        <v>8634404.5254821442</v>
      </c>
      <c r="AW312" s="203">
        <f>AV312*1.12</f>
        <v>9670533.0685400032</v>
      </c>
      <c r="AX312" s="203">
        <f>H297-AX309-AX306-AX303-AX300-AX297</f>
        <v>990</v>
      </c>
      <c r="AY312" s="203"/>
      <c r="AZ312" s="203">
        <f>AO312</f>
        <v>-87305.346607669664</v>
      </c>
      <c r="BA312" s="203"/>
      <c r="BB312" s="203"/>
      <c r="BC312" s="203"/>
      <c r="BD312" s="203"/>
      <c r="BE312" s="203"/>
      <c r="BF312" s="203"/>
      <c r="BG312" s="203"/>
      <c r="BH312" s="203"/>
      <c r="BI312" s="203"/>
      <c r="BJ312" s="203"/>
      <c r="BK312" s="203"/>
      <c r="BL312" s="203"/>
      <c r="BM312" s="202"/>
      <c r="BN312" s="202"/>
      <c r="BO312" s="202"/>
      <c r="BP312" s="202"/>
      <c r="BQ312" s="202"/>
      <c r="BR312" s="202"/>
      <c r="BS312" s="202"/>
      <c r="BT312" s="202"/>
      <c r="BU312" s="201"/>
      <c r="BV312" s="201"/>
      <c r="BW312" s="188"/>
      <c r="BX312" s="188"/>
    </row>
    <row r="313" spans="1:76" ht="17.25" customHeight="1" x14ac:dyDescent="0.25">
      <c r="A313" s="200"/>
      <c r="B313" s="191"/>
      <c r="C313" s="199" t="s">
        <v>6</v>
      </c>
      <c r="D313" s="199" t="s">
        <v>26</v>
      </c>
      <c r="E313" s="198"/>
      <c r="F313" s="198">
        <f>E313*1.12</f>
        <v>0</v>
      </c>
      <c r="G313" s="197"/>
      <c r="H313" s="196"/>
      <c r="I313" s="195"/>
      <c r="J313" s="195">
        <f>I313*1.12</f>
        <v>0</v>
      </c>
      <c r="K313" s="194"/>
      <c r="L313" s="222"/>
      <c r="M313" s="193"/>
      <c r="N313" s="50">
        <f>P313</f>
        <v>176787482.0535714</v>
      </c>
      <c r="O313" s="50">
        <f>Q313</f>
        <v>198001979.90000001</v>
      </c>
      <c r="P313" s="51">
        <f>Q313/1.12</f>
        <v>176787482.0535714</v>
      </c>
      <c r="Q313" s="192">
        <f>Q312</f>
        <v>198001979.90000001</v>
      </c>
      <c r="R313" s="191"/>
      <c r="S313" s="190"/>
      <c r="T313" s="66"/>
      <c r="U313" s="66"/>
      <c r="V313" s="66"/>
      <c r="W313" s="66"/>
      <c r="X313" s="66"/>
      <c r="Y313" s="66"/>
      <c r="Z313" s="66"/>
      <c r="AA313" s="66"/>
      <c r="AB313" s="66"/>
      <c r="AC313" s="117">
        <f>AC314</f>
        <v>0</v>
      </c>
      <c r="AD313" s="229">
        <f>AC313*1.12</f>
        <v>0</v>
      </c>
      <c r="AE313" s="66"/>
      <c r="AF313" s="66">
        <f>AC313+Z313+W313+T313</f>
        <v>0</v>
      </c>
      <c r="AG313" s="66">
        <f>AD313+AA313+X313+U313</f>
        <v>0</v>
      </c>
      <c r="AH313" s="66"/>
      <c r="AI313" s="66"/>
      <c r="AJ313" s="66"/>
      <c r="AK313" s="66"/>
      <c r="AL313" s="117">
        <f>AL314</f>
        <v>111063.90398214274</v>
      </c>
      <c r="AM313" s="64">
        <f>AL313*1.12</f>
        <v>124391.57245999988</v>
      </c>
      <c r="AN313" s="66"/>
      <c r="AO313" s="64">
        <f>AL313-($AI$298/$AK$297*$AN$312)</f>
        <v>-167427.99129809323</v>
      </c>
      <c r="AP313" s="64">
        <f>AM313-($AJ$298/$AK$297*$AN$312)</f>
        <v>-187519.35025386448</v>
      </c>
      <c r="AQ313" s="62"/>
      <c r="AR313" s="43">
        <f>IF($AI$297=0,"",AL313/($AI$297/$AK$297*AN312))</f>
        <v>0.33356395603784605</v>
      </c>
      <c r="AS313" s="63"/>
      <c r="AT313" s="63">
        <f>AL313</f>
        <v>111063.90398214274</v>
      </c>
      <c r="AU313" s="63"/>
      <c r="AV313" s="64">
        <f>I298-AV310-AV307-AV304-AV301-AV298+(AZ297+AZ300+AZ303+AZ306+AZ309)</f>
        <v>6297044.5254821442</v>
      </c>
      <c r="AW313" s="64">
        <f>AV313*1.12</f>
        <v>7052689.868540002</v>
      </c>
      <c r="AX313" s="62"/>
      <c r="AY313" s="62"/>
      <c r="AZ313" s="62"/>
      <c r="BA313" s="62"/>
      <c r="BB313" s="62"/>
      <c r="BC313" s="62"/>
      <c r="BD313" s="62"/>
      <c r="BE313" s="62"/>
      <c r="BF313" s="62"/>
      <c r="BG313" s="62"/>
      <c r="BH313" s="62"/>
      <c r="BI313" s="62"/>
      <c r="BJ313" s="62"/>
      <c r="BK313" s="62"/>
      <c r="BL313" s="62"/>
      <c r="BM313" s="59"/>
      <c r="BN313" s="59"/>
      <c r="BO313" s="231"/>
      <c r="BP313" s="59"/>
      <c r="BQ313" s="59"/>
      <c r="BR313" s="59"/>
      <c r="BS313" s="59"/>
      <c r="BT313" s="59"/>
      <c r="BU313" s="57"/>
      <c r="BV313" s="57"/>
      <c r="BW313" s="188"/>
      <c r="BX313" s="188"/>
    </row>
    <row r="314" spans="1:76" ht="17.25" customHeight="1" x14ac:dyDescent="0.25">
      <c r="A314" s="200"/>
      <c r="B314" s="191"/>
      <c r="C314" s="187" t="s">
        <v>6</v>
      </c>
      <c r="D314" s="187" t="s">
        <v>5</v>
      </c>
      <c r="E314" s="186"/>
      <c r="F314" s="186">
        <f>E314*1.12</f>
        <v>0</v>
      </c>
      <c r="G314" s="197"/>
      <c r="H314" s="196"/>
      <c r="I314" s="183"/>
      <c r="J314" s="183">
        <f>I314*1.12</f>
        <v>0</v>
      </c>
      <c r="K314" s="105"/>
      <c r="L314" s="220"/>
      <c r="M314" s="181"/>
      <c r="N314" s="50">
        <f>P314</f>
        <v>176787482.0535714</v>
      </c>
      <c r="O314" s="50">
        <f>Q314</f>
        <v>198001979.90000001</v>
      </c>
      <c r="P314" s="50">
        <f>Q314/1.12</f>
        <v>176787482.0535714</v>
      </c>
      <c r="Q314" s="180">
        <f>Q313</f>
        <v>198001979.90000001</v>
      </c>
      <c r="R314" s="56"/>
      <c r="S314" s="179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7">
        <f>AC314*1.12</f>
        <v>0</v>
      </c>
      <c r="AE314" s="46"/>
      <c r="AF314" s="46">
        <f>AC314+Z314+W314+T314</f>
        <v>0</v>
      </c>
      <c r="AG314" s="46">
        <f>AD314+AA314+X314+U314</f>
        <v>0</v>
      </c>
      <c r="AH314" s="46"/>
      <c r="AI314" s="46"/>
      <c r="AJ314" s="46"/>
      <c r="AK314" s="46"/>
      <c r="AL314" s="225">
        <f>30807.4406799999/1.12+35510.94306/1.12+33183.07197/1.12+24890.11675/1.12</f>
        <v>111063.90398214274</v>
      </c>
      <c r="AM314" s="41">
        <f>AL314*1.12</f>
        <v>124391.57245999988</v>
      </c>
      <c r="AN314" s="46"/>
      <c r="AO314" s="44">
        <f>AL314-($AI$299/$AK$297*$AN$312)</f>
        <v>-167427.99129809323</v>
      </c>
      <c r="AP314" s="44">
        <f>AM314-($AJ$299/$AK$297*$AN$312)</f>
        <v>-187519.35025386448</v>
      </c>
      <c r="AQ314" s="41"/>
      <c r="AR314" s="178">
        <f>AR313</f>
        <v>0.33356395603784605</v>
      </c>
      <c r="AS314" s="42"/>
      <c r="AT314" s="42">
        <f>AL314</f>
        <v>111063.90398214274</v>
      </c>
      <c r="AU314" s="42"/>
      <c r="AV314" s="44">
        <f>AV313</f>
        <v>6297044.5254821442</v>
      </c>
      <c r="AW314" s="44">
        <f>AV314*1.12</f>
        <v>7052689.868540002</v>
      </c>
      <c r="AX314" s="41"/>
      <c r="AY314" s="41"/>
      <c r="AZ314" s="41"/>
      <c r="BA314" s="41"/>
      <c r="BB314" s="41"/>
      <c r="BC314" s="41"/>
      <c r="BD314" s="41"/>
      <c r="BE314" s="41"/>
      <c r="BF314" s="62"/>
      <c r="BG314" s="41"/>
      <c r="BH314" s="41"/>
      <c r="BI314" s="41"/>
      <c r="BJ314" s="41"/>
      <c r="BK314" s="41"/>
      <c r="BL314" s="41"/>
      <c r="BM314" s="39"/>
      <c r="BN314" s="39"/>
      <c r="BO314" s="230"/>
      <c r="BP314" s="39"/>
      <c r="BQ314" s="39"/>
      <c r="BR314" s="39"/>
      <c r="BS314" s="39"/>
      <c r="BT314" s="39"/>
      <c r="BW314" s="188"/>
      <c r="BX314" s="188"/>
    </row>
    <row r="315" spans="1:76" ht="17.25" customHeight="1" x14ac:dyDescent="0.25">
      <c r="A315" s="200"/>
      <c r="B315" s="191"/>
      <c r="C315" s="214" t="s">
        <v>9</v>
      </c>
      <c r="D315" s="214" t="s">
        <v>8</v>
      </c>
      <c r="E315" s="213"/>
      <c r="F315" s="213">
        <f>E315*1.12</f>
        <v>0</v>
      </c>
      <c r="G315" s="197"/>
      <c r="H315" s="196"/>
      <c r="I315" s="212"/>
      <c r="J315" s="212">
        <f>I315*1.12</f>
        <v>0</v>
      </c>
      <c r="K315" s="118" t="s">
        <v>40</v>
      </c>
      <c r="L315" s="224" t="s">
        <v>39</v>
      </c>
      <c r="M315" s="211" t="s">
        <v>13</v>
      </c>
      <c r="N315" s="210">
        <f>P315</f>
        <v>867518905.92857134</v>
      </c>
      <c r="O315" s="210">
        <f>Q315</f>
        <v>971621174.63999999</v>
      </c>
      <c r="P315" s="210">
        <f>Q315/1.12</f>
        <v>867518905.92857134</v>
      </c>
      <c r="Q315" s="209">
        <v>971621174.63999999</v>
      </c>
      <c r="R315" s="73" t="s">
        <v>38</v>
      </c>
      <c r="S315" s="208">
        <v>396</v>
      </c>
      <c r="T315" s="206"/>
      <c r="U315" s="206"/>
      <c r="V315" s="206"/>
      <c r="W315" s="206"/>
      <c r="X315" s="206"/>
      <c r="Y315" s="206"/>
      <c r="Z315" s="206"/>
      <c r="AA315" s="206"/>
      <c r="AB315" s="206"/>
      <c r="AC315" s="206"/>
      <c r="AD315" s="207">
        <f>AC315*1.12</f>
        <v>0</v>
      </c>
      <c r="AE315" s="206"/>
      <c r="AF315" s="206">
        <f>Z315+AC315</f>
        <v>0</v>
      </c>
      <c r="AG315" s="206">
        <f>AA315+AD315</f>
        <v>0</v>
      </c>
      <c r="AH315" s="206">
        <f>AB315+AE315</f>
        <v>0</v>
      </c>
      <c r="AI315" s="206"/>
      <c r="AJ315" s="206"/>
      <c r="AK315" s="206"/>
      <c r="AL315" s="206">
        <v>1082940</v>
      </c>
      <c r="AM315" s="203">
        <f>AL315*1.12</f>
        <v>1212892.8</v>
      </c>
      <c r="AN315" s="206">
        <f>69+61+57+65+35+109</f>
        <v>396</v>
      </c>
      <c r="AO315" s="203">
        <f>AL315-($AI$297/$AK$297*$AN$315)</f>
        <v>-586081.43362831883</v>
      </c>
      <c r="AP315" s="203">
        <f>AM315-($AJ$297/$AK$297*$AN$315)</f>
        <v>-656411.20566371689</v>
      </c>
      <c r="AQ315" s="203">
        <f>AN315-S315</f>
        <v>0</v>
      </c>
      <c r="AR315" s="205">
        <f>IF($AI$297=0,"",AL315/($AI$297/$AK$297*AN315))</f>
        <v>0.64884726953192884</v>
      </c>
      <c r="AS315" s="204"/>
      <c r="AT315" s="204"/>
      <c r="AU315" s="204"/>
      <c r="AV315" s="203">
        <f>AL315</f>
        <v>1082940</v>
      </c>
      <c r="AW315" s="203">
        <f>AV315*1.12</f>
        <v>1212892.8</v>
      </c>
      <c r="AX315" s="203">
        <f>S315</f>
        <v>396</v>
      </c>
      <c r="AY315" s="203"/>
      <c r="AZ315" s="203">
        <f>AO315</f>
        <v>-586081.43362831883</v>
      </c>
      <c r="BA315" s="203"/>
      <c r="BB315" s="203"/>
      <c r="BC315" s="203"/>
      <c r="BD315" s="203"/>
      <c r="BE315" s="203"/>
      <c r="BF315" s="203"/>
      <c r="BG315" s="203"/>
      <c r="BH315" s="203"/>
      <c r="BI315" s="203"/>
      <c r="BJ315" s="203"/>
      <c r="BK315" s="203"/>
      <c r="BL315" s="203"/>
      <c r="BM315" s="202"/>
      <c r="BN315" s="202"/>
      <c r="BO315" s="202"/>
      <c r="BP315" s="202"/>
      <c r="BQ315" s="202"/>
      <c r="BR315" s="202"/>
      <c r="BS315" s="202"/>
      <c r="BT315" s="202"/>
      <c r="BU315" s="201"/>
      <c r="BV315" s="201"/>
      <c r="BW315" s="188"/>
      <c r="BX315" s="188"/>
    </row>
    <row r="316" spans="1:76" ht="17.25" customHeight="1" x14ac:dyDescent="0.25">
      <c r="A316" s="200"/>
      <c r="B316" s="191"/>
      <c r="C316" s="199" t="s">
        <v>6</v>
      </c>
      <c r="D316" s="199" t="s">
        <v>26</v>
      </c>
      <c r="E316" s="198"/>
      <c r="F316" s="198">
        <f>E316*1.12</f>
        <v>0</v>
      </c>
      <c r="G316" s="197"/>
      <c r="H316" s="196"/>
      <c r="I316" s="195"/>
      <c r="J316" s="195">
        <f>I316*1.12</f>
        <v>0</v>
      </c>
      <c r="K316" s="194"/>
      <c r="L316" s="222"/>
      <c r="M316" s="193"/>
      <c r="N316" s="50">
        <f>P316</f>
        <v>867518905.92857134</v>
      </c>
      <c r="O316" s="50">
        <f>Q316</f>
        <v>971621174.63999999</v>
      </c>
      <c r="P316" s="51">
        <f>Q316/1.12</f>
        <v>867518905.92857134</v>
      </c>
      <c r="Q316" s="192">
        <f>Q315</f>
        <v>971621174.63999999</v>
      </c>
      <c r="R316" s="191"/>
      <c r="S316" s="190"/>
      <c r="T316" s="66"/>
      <c r="U316" s="66"/>
      <c r="V316" s="66"/>
      <c r="W316" s="66"/>
      <c r="X316" s="66"/>
      <c r="Y316" s="66"/>
      <c r="Z316" s="66"/>
      <c r="AA316" s="66"/>
      <c r="AB316" s="66"/>
      <c r="AC316" s="117">
        <f>AC317</f>
        <v>0</v>
      </c>
      <c r="AD316" s="229">
        <f>AC316*1.12</f>
        <v>0</v>
      </c>
      <c r="AE316" s="66"/>
      <c r="AF316" s="66">
        <f>AC316+Z316</f>
        <v>0</v>
      </c>
      <c r="AG316" s="66">
        <f>AD316+AA316</f>
        <v>0</v>
      </c>
      <c r="AH316" s="66"/>
      <c r="AI316" s="66"/>
      <c r="AJ316" s="66"/>
      <c r="AK316" s="66"/>
      <c r="AL316" s="117">
        <f>AL317</f>
        <v>376282.97245535714</v>
      </c>
      <c r="AM316" s="64">
        <f>AL316*1.12</f>
        <v>421436.92915000004</v>
      </c>
      <c r="AN316" s="66"/>
      <c r="AO316" s="64">
        <f>AL316-($AI$298/$AK$297*$AN$315)</f>
        <v>-1019701.7178101295</v>
      </c>
      <c r="AP316" s="64">
        <f>AM316-($AJ$298/$AK$297*$AN$315)</f>
        <v>-1142065.9239473452</v>
      </c>
      <c r="AQ316" s="62"/>
      <c r="AR316" s="43">
        <f>IF($AI$297=0,"",AL316/($AI$297/$AK$297*AN315))</f>
        <v>0.22545125237687819</v>
      </c>
      <c r="AS316" s="63"/>
      <c r="AT316" s="63">
        <f>AL316</f>
        <v>376282.97245535714</v>
      </c>
      <c r="AU316" s="63"/>
      <c r="AV316" s="64">
        <f>AL316</f>
        <v>376282.97245535714</v>
      </c>
      <c r="AW316" s="64">
        <f>AV316*1.12</f>
        <v>421436.92915000004</v>
      </c>
      <c r="AX316" s="62"/>
      <c r="AY316" s="62"/>
      <c r="AZ316" s="62"/>
      <c r="BA316" s="62"/>
      <c r="BB316" s="62"/>
      <c r="BC316" s="62"/>
      <c r="BD316" s="62"/>
      <c r="BE316" s="62"/>
      <c r="BF316" s="62"/>
      <c r="BG316" s="62"/>
      <c r="BH316" s="62"/>
      <c r="BI316" s="62"/>
      <c r="BJ316" s="62"/>
      <c r="BK316" s="62"/>
      <c r="BL316" s="62"/>
      <c r="BM316" s="59"/>
      <c r="BN316" s="59"/>
      <c r="BO316" s="59"/>
      <c r="BP316" s="59"/>
      <c r="BQ316" s="59"/>
      <c r="BR316" s="59"/>
      <c r="BS316" s="59"/>
      <c r="BT316" s="59"/>
      <c r="BU316" s="57"/>
      <c r="BV316" s="57"/>
      <c r="BW316" s="188"/>
      <c r="BX316" s="188"/>
    </row>
    <row r="317" spans="1:76" ht="17.25" customHeight="1" x14ac:dyDescent="0.25">
      <c r="A317" s="200"/>
      <c r="B317" s="191"/>
      <c r="C317" s="187" t="s">
        <v>6</v>
      </c>
      <c r="D317" s="187" t="s">
        <v>5</v>
      </c>
      <c r="E317" s="186"/>
      <c r="F317" s="186">
        <f>E317*1.12</f>
        <v>0</v>
      </c>
      <c r="G317" s="197"/>
      <c r="H317" s="196"/>
      <c r="I317" s="183"/>
      <c r="J317" s="183">
        <f>I317*1.12</f>
        <v>0</v>
      </c>
      <c r="K317" s="105"/>
      <c r="L317" s="220"/>
      <c r="M317" s="181"/>
      <c r="N317" s="50">
        <f>P317</f>
        <v>867518905.92857134</v>
      </c>
      <c r="O317" s="50">
        <f>Q317</f>
        <v>971621174.63999999</v>
      </c>
      <c r="P317" s="50">
        <f>Q317/1.12</f>
        <v>867518905.92857134</v>
      </c>
      <c r="Q317" s="180">
        <f>Q316</f>
        <v>971621174.63999999</v>
      </c>
      <c r="R317" s="56"/>
      <c r="S317" s="179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7">
        <f>AC317*1.12</f>
        <v>0</v>
      </c>
      <c r="AE317" s="46"/>
      <c r="AF317" s="46">
        <f>AC317+Z317</f>
        <v>0</v>
      </c>
      <c r="AG317" s="46">
        <f>AD317+AA317</f>
        <v>0</v>
      </c>
      <c r="AH317" s="46"/>
      <c r="AI317" s="46"/>
      <c r="AJ317" s="46"/>
      <c r="AK317" s="46"/>
      <c r="AL317" s="225">
        <f>30000/1.12+76984.7101/1.12+10677.51681/1.12+93394.47555/1.12+82754.02564/1.12+127626.20105/1.12</f>
        <v>376282.97245535714</v>
      </c>
      <c r="AM317" s="41">
        <f>AL317*1.12</f>
        <v>421436.92915000004</v>
      </c>
      <c r="AN317" s="46"/>
      <c r="AO317" s="44">
        <f>AL317-($AI$299/$AK$297*$AN$315)</f>
        <v>-1019701.7178101295</v>
      </c>
      <c r="AP317" s="44">
        <f>AM317-($AJ$299/$AK$297*$AN$315)</f>
        <v>-1142065.9239473452</v>
      </c>
      <c r="AQ317" s="41"/>
      <c r="AR317" s="178">
        <f>AR316</f>
        <v>0.22545125237687819</v>
      </c>
      <c r="AS317" s="42"/>
      <c r="AT317" s="42">
        <f>AL317</f>
        <v>376282.97245535714</v>
      </c>
      <c r="AU317" s="42"/>
      <c r="AV317" s="44">
        <f>AV316</f>
        <v>376282.97245535714</v>
      </c>
      <c r="AW317" s="44">
        <f>AV317*1.12</f>
        <v>421436.92915000004</v>
      </c>
      <c r="AX317" s="41"/>
      <c r="AY317" s="41"/>
      <c r="AZ317" s="41"/>
      <c r="BA317" s="41"/>
      <c r="BB317" s="41"/>
      <c r="BC317" s="41"/>
      <c r="BD317" s="41"/>
      <c r="BE317" s="41"/>
      <c r="BF317" s="62"/>
      <c r="BG317" s="41"/>
      <c r="BH317" s="41"/>
      <c r="BI317" s="41"/>
      <c r="BJ317" s="41"/>
      <c r="BK317" s="41"/>
      <c r="BL317" s="41"/>
      <c r="BM317" s="39"/>
      <c r="BN317" s="39"/>
      <c r="BO317" s="39"/>
      <c r="BP317" s="39"/>
      <c r="BQ317" s="39"/>
      <c r="BR317" s="39"/>
      <c r="BS317" s="39"/>
      <c r="BT317" s="39"/>
      <c r="BW317" s="188"/>
      <c r="BX317" s="188"/>
    </row>
    <row r="318" spans="1:76" ht="17.25" customHeight="1" x14ac:dyDescent="0.25">
      <c r="A318" s="200"/>
      <c r="B318" s="191"/>
      <c r="C318" s="214" t="s">
        <v>9</v>
      </c>
      <c r="D318" s="214" t="s">
        <v>8</v>
      </c>
      <c r="E318" s="213"/>
      <c r="F318" s="213">
        <f>E318*1.12</f>
        <v>0</v>
      </c>
      <c r="G318" s="197"/>
      <c r="H318" s="196"/>
      <c r="I318" s="212"/>
      <c r="J318" s="212">
        <f>I318*1.12</f>
        <v>0</v>
      </c>
      <c r="K318" s="118" t="s">
        <v>37</v>
      </c>
      <c r="L318" s="228" t="s">
        <v>36</v>
      </c>
      <c r="M318" s="211" t="s">
        <v>13</v>
      </c>
      <c r="N318" s="210">
        <f>P318</f>
        <v>349853122.38392854</v>
      </c>
      <c r="O318" s="210">
        <f>Q318</f>
        <v>391835497.06999999</v>
      </c>
      <c r="P318" s="210">
        <f>Q318/1.12</f>
        <v>349853122.38392854</v>
      </c>
      <c r="Q318" s="209">
        <v>391835497.06999999</v>
      </c>
      <c r="R318" s="73" t="s">
        <v>32</v>
      </c>
      <c r="S318" s="208">
        <v>158</v>
      </c>
      <c r="T318" s="206"/>
      <c r="U318" s="206"/>
      <c r="V318" s="206"/>
      <c r="W318" s="206"/>
      <c r="X318" s="206"/>
      <c r="Y318" s="206"/>
      <c r="Z318" s="206"/>
      <c r="AA318" s="206"/>
      <c r="AB318" s="206"/>
      <c r="AC318" s="206"/>
      <c r="AD318" s="207">
        <f>AC318*1.12</f>
        <v>0</v>
      </c>
      <c r="AE318" s="206"/>
      <c r="AF318" s="206">
        <f>Z318+AC318</f>
        <v>0</v>
      </c>
      <c r="AG318" s="206">
        <f>AA318+AD318</f>
        <v>0</v>
      </c>
      <c r="AH318" s="206">
        <f>AB318+AE318</f>
        <v>0</v>
      </c>
      <c r="AI318" s="206"/>
      <c r="AJ318" s="206"/>
      <c r="AK318" s="206"/>
      <c r="AL318" s="206">
        <v>348286</v>
      </c>
      <c r="AM318" s="203">
        <f>AL318*1.12</f>
        <v>390080.32000000007</v>
      </c>
      <c r="AN318" s="206">
        <f>30+40+18+20+20+30</f>
        <v>158</v>
      </c>
      <c r="AO318" s="203">
        <f>AL318-($AI$297/$AK$297*$AN$318)</f>
        <v>-317636.69321533933</v>
      </c>
      <c r="AP318" s="203">
        <f>AM318-($AJ$297/$AK$297*$AN$318)</f>
        <v>-355753.09640117991</v>
      </c>
      <c r="AQ318" s="203">
        <f>AN318-S318</f>
        <v>0</v>
      </c>
      <c r="AR318" s="205">
        <f>IF($AI$297=0,"",AL318/($AI$297/$AK$297*AN318))</f>
        <v>0.52301266130207524</v>
      </c>
      <c r="AS318" s="204"/>
      <c r="AT318" s="204"/>
      <c r="AU318" s="204"/>
      <c r="AV318" s="203"/>
      <c r="AW318" s="203">
        <f>AV318*1.12</f>
        <v>0</v>
      </c>
      <c r="AX318" s="203">
        <f>S318</f>
        <v>158</v>
      </c>
      <c r="AY318" s="203"/>
      <c r="AZ318" s="203">
        <f>AO318</f>
        <v>-317636.69321533933</v>
      </c>
      <c r="BA318" s="203"/>
      <c r="BB318" s="203"/>
      <c r="BC318" s="203"/>
      <c r="BD318" s="203"/>
      <c r="BE318" s="203"/>
      <c r="BF318" s="203"/>
      <c r="BG318" s="203"/>
      <c r="BH318" s="203"/>
      <c r="BI318" s="203"/>
      <c r="BJ318" s="203"/>
      <c r="BK318" s="203"/>
      <c r="BL318" s="203"/>
      <c r="BM318" s="202"/>
      <c r="BN318" s="202"/>
      <c r="BO318" s="202"/>
      <c r="BP318" s="202"/>
      <c r="BQ318" s="202"/>
      <c r="BR318" s="202"/>
      <c r="BS318" s="202"/>
      <c r="BT318" s="202"/>
      <c r="BU318" s="201"/>
      <c r="BV318" s="201"/>
      <c r="BW318" s="188"/>
      <c r="BX318" s="188"/>
    </row>
    <row r="319" spans="1:76" ht="17.25" customHeight="1" x14ac:dyDescent="0.25">
      <c r="A319" s="200"/>
      <c r="B319" s="191"/>
      <c r="C319" s="199" t="s">
        <v>6</v>
      </c>
      <c r="D319" s="199" t="s">
        <v>26</v>
      </c>
      <c r="E319" s="198"/>
      <c r="F319" s="198">
        <f>E319*1.12</f>
        <v>0</v>
      </c>
      <c r="G319" s="197"/>
      <c r="H319" s="196"/>
      <c r="I319" s="195"/>
      <c r="J319" s="195">
        <f>I319*1.12</f>
        <v>0</v>
      </c>
      <c r="K319" s="194"/>
      <c r="L319" s="227"/>
      <c r="M319" s="193"/>
      <c r="N319" s="50">
        <f>P319</f>
        <v>349853122.38392854</v>
      </c>
      <c r="O319" s="50">
        <f>Q319</f>
        <v>391835497.06999999</v>
      </c>
      <c r="P319" s="51">
        <f>Q319/1.12</f>
        <v>349853122.38392854</v>
      </c>
      <c r="Q319" s="192">
        <f>Q318</f>
        <v>391835497.06999999</v>
      </c>
      <c r="R319" s="191"/>
      <c r="S319" s="190"/>
      <c r="T319" s="66"/>
      <c r="U319" s="66"/>
      <c r="V319" s="66"/>
      <c r="W319" s="66"/>
      <c r="X319" s="66"/>
      <c r="Y319" s="66"/>
      <c r="Z319" s="66"/>
      <c r="AA319" s="66"/>
      <c r="AB319" s="66"/>
      <c r="AC319" s="117">
        <f>AC320</f>
        <v>0</v>
      </c>
      <c r="AD319" s="229">
        <f>AC319*1.12</f>
        <v>0</v>
      </c>
      <c r="AE319" s="66"/>
      <c r="AF319" s="66">
        <f>AC319+Z319</f>
        <v>0</v>
      </c>
      <c r="AG319" s="66">
        <f>AD319+AA319</f>
        <v>0</v>
      </c>
      <c r="AH319" s="66"/>
      <c r="AI319" s="66"/>
      <c r="AJ319" s="66"/>
      <c r="AK319" s="66"/>
      <c r="AL319" s="117">
        <f>AL320</f>
        <v>184345.59171428566</v>
      </c>
      <c r="AM319" s="64">
        <f>AL319*1.12</f>
        <v>206467.06271999996</v>
      </c>
      <c r="AN319" s="66"/>
      <c r="AO319" s="64">
        <f>AL319-($AI$298/$AK$297*$AN$318)</f>
        <v>-372638.19884618628</v>
      </c>
      <c r="AP319" s="64">
        <f>AM319-($AJ$298/$AK$297*$AN$318)</f>
        <v>-417354.78270772879</v>
      </c>
      <c r="AQ319" s="62"/>
      <c r="AR319" s="43">
        <f>IF($AI$297=0,"",AL319/($AI$297/$AK$297*AN318))</f>
        <v>0.27682731583180009</v>
      </c>
      <c r="AS319" s="63"/>
      <c r="AT319" s="63">
        <f>AL319</f>
        <v>184345.59171428566</v>
      </c>
      <c r="AU319" s="63"/>
      <c r="AV319" s="64">
        <f>AL319</f>
        <v>184345.59171428566</v>
      </c>
      <c r="AW319" s="64">
        <f>AV319*1.12</f>
        <v>206467.06271999996</v>
      </c>
      <c r="AX319" s="62"/>
      <c r="AY319" s="62"/>
      <c r="AZ319" s="62"/>
      <c r="BA319" s="62"/>
      <c r="BB319" s="62"/>
      <c r="BC319" s="62"/>
      <c r="BD319" s="62"/>
      <c r="BE319" s="62"/>
      <c r="BF319" s="62"/>
      <c r="BG319" s="62"/>
      <c r="BH319" s="62"/>
      <c r="BI319" s="62"/>
      <c r="BJ319" s="62"/>
      <c r="BK319" s="62"/>
      <c r="BL319" s="62"/>
      <c r="BM319" s="59"/>
      <c r="BN319" s="59"/>
      <c r="BO319" s="59"/>
      <c r="BP319" s="59"/>
      <c r="BQ319" s="59"/>
      <c r="BR319" s="59"/>
      <c r="BS319" s="59"/>
      <c r="BT319" s="59"/>
      <c r="BU319" s="57"/>
      <c r="BV319" s="57"/>
      <c r="BW319" s="188"/>
      <c r="BX319" s="188"/>
    </row>
    <row r="320" spans="1:76" ht="17.25" customHeight="1" x14ac:dyDescent="0.25">
      <c r="A320" s="200"/>
      <c r="B320" s="191"/>
      <c r="C320" s="187" t="s">
        <v>6</v>
      </c>
      <c r="D320" s="187" t="s">
        <v>5</v>
      </c>
      <c r="E320" s="186"/>
      <c r="F320" s="186">
        <f>E320*1.12</f>
        <v>0</v>
      </c>
      <c r="G320" s="197"/>
      <c r="H320" s="196"/>
      <c r="I320" s="183"/>
      <c r="J320" s="183">
        <f>I320*1.12</f>
        <v>0</v>
      </c>
      <c r="K320" s="105"/>
      <c r="L320" s="226"/>
      <c r="M320" s="181"/>
      <c r="N320" s="50">
        <f>P320</f>
        <v>349853122.38392854</v>
      </c>
      <c r="O320" s="50">
        <f>Q320</f>
        <v>391835497.06999999</v>
      </c>
      <c r="P320" s="50">
        <f>Q320/1.12</f>
        <v>349853122.38392854</v>
      </c>
      <c r="Q320" s="180">
        <f>Q319</f>
        <v>391835497.06999999</v>
      </c>
      <c r="R320" s="56"/>
      <c r="S320" s="179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7">
        <f>AC320*1.12</f>
        <v>0</v>
      </c>
      <c r="AE320" s="46"/>
      <c r="AF320" s="46">
        <f>AC320+Z320</f>
        <v>0</v>
      </c>
      <c r="AG320" s="46">
        <f>AD320+AA320</f>
        <v>0</v>
      </c>
      <c r="AH320" s="46"/>
      <c r="AI320" s="46"/>
      <c r="AJ320" s="46"/>
      <c r="AK320" s="46"/>
      <c r="AL320" s="225">
        <f>55055.13955/1.12+60932.58259/1.12+52920.60202/1.12+37558.73856/1.12</f>
        <v>184345.59171428566</v>
      </c>
      <c r="AM320" s="41">
        <f>AL320*1.12</f>
        <v>206467.06271999996</v>
      </c>
      <c r="AN320" s="46"/>
      <c r="AO320" s="44">
        <f>AL320-($AI$299/$AK$297*$AN$318)</f>
        <v>-372638.19884618628</v>
      </c>
      <c r="AP320" s="44">
        <f>AM320-($AJ$299/$AK$297*$AN$318)</f>
        <v>-417354.78270772879</v>
      </c>
      <c r="AQ320" s="41"/>
      <c r="AR320" s="178">
        <f>AR319</f>
        <v>0.27682731583180009</v>
      </c>
      <c r="AS320" s="42"/>
      <c r="AT320" s="42">
        <f>AL320</f>
        <v>184345.59171428566</v>
      </c>
      <c r="AU320" s="42"/>
      <c r="AV320" s="44">
        <f>AV319</f>
        <v>184345.59171428566</v>
      </c>
      <c r="AW320" s="44">
        <f>AV320*1.12</f>
        <v>206467.06271999996</v>
      </c>
      <c r="AX320" s="41"/>
      <c r="AY320" s="41"/>
      <c r="AZ320" s="41"/>
      <c r="BA320" s="41"/>
      <c r="BB320" s="41"/>
      <c r="BC320" s="41"/>
      <c r="BD320" s="41"/>
      <c r="BE320" s="41"/>
      <c r="BF320" s="62"/>
      <c r="BG320" s="41"/>
      <c r="BH320" s="41"/>
      <c r="BI320" s="41"/>
      <c r="BJ320" s="41"/>
      <c r="BK320" s="41"/>
      <c r="BL320" s="41"/>
      <c r="BM320" s="39"/>
      <c r="BN320" s="39"/>
      <c r="BO320" s="39"/>
      <c r="BP320" s="39"/>
      <c r="BQ320" s="39"/>
      <c r="BR320" s="39"/>
      <c r="BS320" s="39"/>
      <c r="BT320" s="39"/>
      <c r="BW320" s="188"/>
      <c r="BX320" s="188"/>
    </row>
    <row r="321" spans="1:76" ht="17.25" customHeight="1" x14ac:dyDescent="0.25">
      <c r="A321" s="200"/>
      <c r="B321" s="191"/>
      <c r="C321" s="214" t="s">
        <v>9</v>
      </c>
      <c r="D321" s="214" t="s">
        <v>8</v>
      </c>
      <c r="E321" s="213"/>
      <c r="F321" s="213">
        <f>E321*1.12</f>
        <v>0</v>
      </c>
      <c r="G321" s="197"/>
      <c r="H321" s="196"/>
      <c r="I321" s="212"/>
      <c r="J321" s="212">
        <f>I321*1.12</f>
        <v>0</v>
      </c>
      <c r="K321" s="118" t="s">
        <v>34</v>
      </c>
      <c r="L321" s="228" t="s">
        <v>35</v>
      </c>
      <c r="M321" s="211" t="s">
        <v>13</v>
      </c>
      <c r="N321" s="210">
        <f>P321</f>
        <v>521387625.27678561</v>
      </c>
      <c r="O321" s="210">
        <f>Q321</f>
        <v>583954140.30999994</v>
      </c>
      <c r="P321" s="210">
        <f>Q321/1.12</f>
        <v>521387625.27678561</v>
      </c>
      <c r="Q321" s="209">
        <v>583954140.30999994</v>
      </c>
      <c r="R321" s="73" t="s">
        <v>32</v>
      </c>
      <c r="S321" s="208">
        <v>238</v>
      </c>
      <c r="T321" s="206"/>
      <c r="U321" s="206"/>
      <c r="V321" s="206"/>
      <c r="W321" s="206"/>
      <c r="X321" s="206"/>
      <c r="Y321" s="206"/>
      <c r="Z321" s="206"/>
      <c r="AA321" s="206"/>
      <c r="AB321" s="206"/>
      <c r="AC321" s="206"/>
      <c r="AD321" s="207">
        <f>AC321*1.12</f>
        <v>0</v>
      </c>
      <c r="AE321" s="206"/>
      <c r="AF321" s="206">
        <f>Z321+AC321</f>
        <v>0</v>
      </c>
      <c r="AG321" s="206">
        <f>AA321+AD321</f>
        <v>0</v>
      </c>
      <c r="AH321" s="206">
        <f>AB321+AE321</f>
        <v>0</v>
      </c>
      <c r="AI321" s="206"/>
      <c r="AJ321" s="206"/>
      <c r="AK321" s="206"/>
      <c r="AL321" s="206">
        <v>439526</v>
      </c>
      <c r="AM321" s="203">
        <f>AL321*1.12</f>
        <v>492269.12000000005</v>
      </c>
      <c r="AN321" s="206">
        <f>18+47+46+46+42+39</f>
        <v>238</v>
      </c>
      <c r="AO321" s="203">
        <f>AL321-($AI$297/$AK$297*$AN$321)</f>
        <v>-563572.74041297939</v>
      </c>
      <c r="AP321" s="203">
        <f>AM321-($AJ$297/$AK$297*$AN$321)</f>
        <v>-631201.46926253685</v>
      </c>
      <c r="AQ321" s="203">
        <f>AN321-S321</f>
        <v>0</v>
      </c>
      <c r="AR321" s="205">
        <f>IF($AI$297=0,"",AL321/($AI$297/$AK$297*AN321))</f>
        <v>0.43816823039678582</v>
      </c>
      <c r="AS321" s="204"/>
      <c r="AT321" s="204"/>
      <c r="AU321" s="204"/>
      <c r="AV321" s="203"/>
      <c r="AW321" s="203">
        <f>AV321*1.12</f>
        <v>0</v>
      </c>
      <c r="AX321" s="203">
        <f>S321</f>
        <v>238</v>
      </c>
      <c r="AY321" s="203"/>
      <c r="AZ321" s="203">
        <f>AO321</f>
        <v>-563572.74041297939</v>
      </c>
      <c r="BA321" s="203"/>
      <c r="BB321" s="203"/>
      <c r="BC321" s="203"/>
      <c r="BD321" s="203"/>
      <c r="BE321" s="203"/>
      <c r="BF321" s="203"/>
      <c r="BG321" s="203"/>
      <c r="BH321" s="203"/>
      <c r="BI321" s="203"/>
      <c r="BJ321" s="203"/>
      <c r="BK321" s="203"/>
      <c r="BL321" s="203"/>
      <c r="BM321" s="202"/>
      <c r="BN321" s="202"/>
      <c r="BO321" s="202"/>
      <c r="BP321" s="202"/>
      <c r="BQ321" s="202"/>
      <c r="BR321" s="202"/>
      <c r="BS321" s="202"/>
      <c r="BT321" s="202"/>
      <c r="BU321" s="201"/>
      <c r="BV321" s="201"/>
      <c r="BW321" s="188"/>
      <c r="BX321" s="188"/>
    </row>
    <row r="322" spans="1:76" ht="17.25" customHeight="1" x14ac:dyDescent="0.25">
      <c r="A322" s="200"/>
      <c r="B322" s="191"/>
      <c r="C322" s="199" t="s">
        <v>6</v>
      </c>
      <c r="D322" s="199" t="s">
        <v>26</v>
      </c>
      <c r="E322" s="198"/>
      <c r="F322" s="198">
        <f>E322*1.12</f>
        <v>0</v>
      </c>
      <c r="G322" s="197"/>
      <c r="H322" s="196"/>
      <c r="I322" s="195"/>
      <c r="J322" s="195">
        <f>I322*1.12</f>
        <v>0</v>
      </c>
      <c r="K322" s="194"/>
      <c r="L322" s="227"/>
      <c r="M322" s="193"/>
      <c r="N322" s="50">
        <f>P322</f>
        <v>521387625.27678561</v>
      </c>
      <c r="O322" s="50">
        <f>Q322</f>
        <v>583954140.30999994</v>
      </c>
      <c r="P322" s="51">
        <f>Q322/1.12</f>
        <v>521387625.27678561</v>
      </c>
      <c r="Q322" s="192">
        <f>Q321</f>
        <v>583954140.30999994</v>
      </c>
      <c r="R322" s="191"/>
      <c r="S322" s="190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126">
        <f>AC322*1.12</f>
        <v>0</v>
      </c>
      <c r="AE322" s="66"/>
      <c r="AF322" s="66">
        <f>AC322+Z322</f>
        <v>0</v>
      </c>
      <c r="AG322" s="66">
        <f>AD322+AA322</f>
        <v>0</v>
      </c>
      <c r="AH322" s="66"/>
      <c r="AI322" s="66"/>
      <c r="AJ322" s="66"/>
      <c r="AK322" s="66"/>
      <c r="AL322" s="66">
        <f>AL323</f>
        <v>203372.14399999997</v>
      </c>
      <c r="AM322" s="62">
        <f>AL322*1.12</f>
        <v>227776.80127999999</v>
      </c>
      <c r="AN322" s="66"/>
      <c r="AO322" s="64">
        <f>AL322-($AI$298/$AK$297*$AN$321)</f>
        <v>-635628.7557050148</v>
      </c>
      <c r="AP322" s="64">
        <f>AM322-($AJ$298/$AK$297*$AN$321)</f>
        <v>-711904.20638961659</v>
      </c>
      <c r="AQ322" s="62"/>
      <c r="AR322" s="43">
        <f>IF($AI$297=0,"",AL322/($AI$297/$AK$297*AN321))</f>
        <v>0.20274389330433307</v>
      </c>
      <c r="AS322" s="63"/>
      <c r="AT322" s="63">
        <f>AL322</f>
        <v>203372.14399999997</v>
      </c>
      <c r="AU322" s="63"/>
      <c r="AV322" s="64">
        <f>AL322</f>
        <v>203372.14399999997</v>
      </c>
      <c r="AW322" s="64">
        <f>AV322*1.12</f>
        <v>227776.80127999999</v>
      </c>
      <c r="AX322" s="62"/>
      <c r="AY322" s="62"/>
      <c r="AZ322" s="62"/>
      <c r="BA322" s="62"/>
      <c r="BB322" s="62"/>
      <c r="BC322" s="62"/>
      <c r="BD322" s="62"/>
      <c r="BE322" s="62"/>
      <c r="BF322" s="62"/>
      <c r="BG322" s="62"/>
      <c r="BH322" s="62"/>
      <c r="BI322" s="62"/>
      <c r="BJ322" s="62"/>
      <c r="BK322" s="62"/>
      <c r="BL322" s="62"/>
      <c r="BM322" s="59"/>
      <c r="BN322" s="59"/>
      <c r="BO322" s="59"/>
      <c r="BP322" s="59"/>
      <c r="BQ322" s="59"/>
      <c r="BR322" s="59"/>
      <c r="BS322" s="59"/>
      <c r="BT322" s="59"/>
      <c r="BU322" s="57"/>
      <c r="BV322" s="57"/>
      <c r="BW322" s="188"/>
      <c r="BX322" s="188"/>
    </row>
    <row r="323" spans="1:76" ht="17.25" customHeight="1" x14ac:dyDescent="0.25">
      <c r="A323" s="200"/>
      <c r="B323" s="191"/>
      <c r="C323" s="187" t="s">
        <v>6</v>
      </c>
      <c r="D323" s="187" t="s">
        <v>5</v>
      </c>
      <c r="E323" s="186"/>
      <c r="F323" s="186">
        <f>E323*1.12</f>
        <v>0</v>
      </c>
      <c r="G323" s="197"/>
      <c r="H323" s="196"/>
      <c r="I323" s="183"/>
      <c r="J323" s="183">
        <f>I323*1.12</f>
        <v>0</v>
      </c>
      <c r="K323" s="105"/>
      <c r="L323" s="226"/>
      <c r="M323" s="181"/>
      <c r="N323" s="50">
        <f>P323</f>
        <v>521387625.27678561</v>
      </c>
      <c r="O323" s="50">
        <f>Q323</f>
        <v>583954140.30999994</v>
      </c>
      <c r="P323" s="50">
        <f>Q323/1.12</f>
        <v>521387625.27678561</v>
      </c>
      <c r="Q323" s="180">
        <f>Q322</f>
        <v>583954140.30999994</v>
      </c>
      <c r="R323" s="56"/>
      <c r="S323" s="179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7">
        <f>AC323*1.12</f>
        <v>0</v>
      </c>
      <c r="AE323" s="46"/>
      <c r="AF323" s="46">
        <f>AC323+Z323</f>
        <v>0</v>
      </c>
      <c r="AG323" s="46">
        <f>AD323+AA323</f>
        <v>0</v>
      </c>
      <c r="AH323" s="46"/>
      <c r="AI323" s="46"/>
      <c r="AJ323" s="46"/>
      <c r="AK323" s="46"/>
      <c r="AL323" s="225">
        <f>27893.17692/1.12+72059.07931/1.12+64064.72819/1.12+63759.81686/1.12</f>
        <v>203372.14399999997</v>
      </c>
      <c r="AM323" s="41">
        <f>AL323*1.12</f>
        <v>227776.80127999999</v>
      </c>
      <c r="AN323" s="46"/>
      <c r="AO323" s="44">
        <f>AL323-($AI$299/$AK$297*$AN$321)</f>
        <v>-635628.7557050148</v>
      </c>
      <c r="AP323" s="44">
        <f>AM323-($AJ$299/$AK$297*$AN$321)</f>
        <v>-711904.20638961659</v>
      </c>
      <c r="AQ323" s="41"/>
      <c r="AR323" s="178">
        <f>AR322</f>
        <v>0.20274389330433307</v>
      </c>
      <c r="AS323" s="42"/>
      <c r="AT323" s="42">
        <f>AL323</f>
        <v>203372.14399999997</v>
      </c>
      <c r="AU323" s="42"/>
      <c r="AV323" s="44">
        <f>AV322</f>
        <v>203372.14399999997</v>
      </c>
      <c r="AW323" s="44">
        <f>AV323*1.12</f>
        <v>227776.80127999999</v>
      </c>
      <c r="AX323" s="41"/>
      <c r="AY323" s="41"/>
      <c r="AZ323" s="41"/>
      <c r="BA323" s="41"/>
      <c r="BB323" s="41"/>
      <c r="BC323" s="41"/>
      <c r="BD323" s="41"/>
      <c r="BE323" s="41"/>
      <c r="BF323" s="62"/>
      <c r="BG323" s="41"/>
      <c r="BH323" s="41"/>
      <c r="BI323" s="41"/>
      <c r="BJ323" s="41"/>
      <c r="BK323" s="41"/>
      <c r="BL323" s="41"/>
      <c r="BM323" s="39"/>
      <c r="BN323" s="39"/>
      <c r="BO323" s="39"/>
      <c r="BP323" s="39"/>
      <c r="BQ323" s="39"/>
      <c r="BR323" s="39"/>
      <c r="BS323" s="39"/>
      <c r="BT323" s="39"/>
      <c r="BW323" s="188"/>
      <c r="BX323" s="188"/>
    </row>
    <row r="324" spans="1:76" ht="17.25" customHeight="1" x14ac:dyDescent="0.25">
      <c r="A324" s="200"/>
      <c r="B324" s="191"/>
      <c r="C324" s="214" t="s">
        <v>9</v>
      </c>
      <c r="D324" s="214" t="s">
        <v>8</v>
      </c>
      <c r="E324" s="213"/>
      <c r="F324" s="213">
        <f>E324*1.12</f>
        <v>0</v>
      </c>
      <c r="G324" s="197"/>
      <c r="H324" s="196"/>
      <c r="I324" s="212"/>
      <c r="J324" s="212">
        <f>I324*1.12</f>
        <v>0</v>
      </c>
      <c r="K324" s="118" t="s">
        <v>34</v>
      </c>
      <c r="L324" s="228" t="s">
        <v>33</v>
      </c>
      <c r="M324" s="211" t="s">
        <v>13</v>
      </c>
      <c r="N324" s="210">
        <f>P324</f>
        <v>269103290.47321427</v>
      </c>
      <c r="O324" s="210">
        <f>Q324</f>
        <v>301395685.32999998</v>
      </c>
      <c r="P324" s="210">
        <f>Q324/1.12</f>
        <v>269103290.47321427</v>
      </c>
      <c r="Q324" s="209">
        <v>301395685.32999998</v>
      </c>
      <c r="R324" s="73" t="s">
        <v>32</v>
      </c>
      <c r="S324" s="208">
        <v>119</v>
      </c>
      <c r="T324" s="206"/>
      <c r="U324" s="206"/>
      <c r="V324" s="206"/>
      <c r="W324" s="206"/>
      <c r="X324" s="206"/>
      <c r="Y324" s="206"/>
      <c r="Z324" s="206"/>
      <c r="AA324" s="206"/>
      <c r="AB324" s="206"/>
      <c r="AC324" s="206"/>
      <c r="AD324" s="207">
        <f>AC324*1.12</f>
        <v>0</v>
      </c>
      <c r="AE324" s="206"/>
      <c r="AF324" s="206">
        <f>Z324+AC324</f>
        <v>0</v>
      </c>
      <c r="AG324" s="206">
        <f>AA324+AD324</f>
        <v>0</v>
      </c>
      <c r="AH324" s="206">
        <f>AB324+AE324</f>
        <v>0</v>
      </c>
      <c r="AI324" s="206"/>
      <c r="AJ324" s="206"/>
      <c r="AK324" s="206"/>
      <c r="AL324" s="206">
        <v>273536</v>
      </c>
      <c r="AM324" s="203">
        <f>AL324*1.12</f>
        <v>306360.32000000001</v>
      </c>
      <c r="AN324" s="206">
        <f>20+30+20+19+15+15</f>
        <v>119</v>
      </c>
      <c r="AO324" s="203">
        <f>AL324-($AI$297/$AK$297*$AN$324)</f>
        <v>-228013.37020648969</v>
      </c>
      <c r="AP324" s="203">
        <f>AM324-($AJ$297/$AK$297*$AN$324)</f>
        <v>-255374.97463126847</v>
      </c>
      <c r="AQ324" s="203">
        <f>AN324-S324</f>
        <v>0</v>
      </c>
      <c r="AR324" s="205">
        <f>IF($AI$297=0,"",AL324/($AI$297/$AK$297*AN324))</f>
        <v>0.54538200274757442</v>
      </c>
      <c r="AS324" s="204"/>
      <c r="AT324" s="204"/>
      <c r="AU324" s="204"/>
      <c r="AV324" s="203"/>
      <c r="AW324" s="203">
        <f>AV324*1.12</f>
        <v>0</v>
      </c>
      <c r="AX324" s="203">
        <f>S324</f>
        <v>119</v>
      </c>
      <c r="AY324" s="203"/>
      <c r="AZ324" s="203">
        <f>AO324</f>
        <v>-228013.37020648969</v>
      </c>
      <c r="BA324" s="203"/>
      <c r="BB324" s="203"/>
      <c r="BC324" s="203"/>
      <c r="BD324" s="203"/>
      <c r="BE324" s="203"/>
      <c r="BF324" s="203"/>
      <c r="BG324" s="203"/>
      <c r="BH324" s="203"/>
      <c r="BI324" s="203"/>
      <c r="BJ324" s="203"/>
      <c r="BK324" s="203"/>
      <c r="BL324" s="203"/>
      <c r="BM324" s="202"/>
      <c r="BN324" s="202"/>
      <c r="BO324" s="202"/>
      <c r="BP324" s="202"/>
      <c r="BQ324" s="202"/>
      <c r="BR324" s="202"/>
      <c r="BS324" s="202"/>
      <c r="BT324" s="202"/>
      <c r="BU324" s="201"/>
      <c r="BV324" s="201"/>
      <c r="BW324" s="188"/>
      <c r="BX324" s="188"/>
    </row>
    <row r="325" spans="1:76" ht="17.25" customHeight="1" x14ac:dyDescent="0.25">
      <c r="A325" s="200"/>
      <c r="B325" s="191"/>
      <c r="C325" s="199" t="s">
        <v>6</v>
      </c>
      <c r="D325" s="199" t="s">
        <v>26</v>
      </c>
      <c r="E325" s="198"/>
      <c r="F325" s="198">
        <f>E325*1.12</f>
        <v>0</v>
      </c>
      <c r="G325" s="197"/>
      <c r="H325" s="196"/>
      <c r="I325" s="195"/>
      <c r="J325" s="195">
        <f>I325*1.12</f>
        <v>0</v>
      </c>
      <c r="K325" s="194"/>
      <c r="L325" s="227"/>
      <c r="M325" s="193"/>
      <c r="N325" s="50">
        <f>P325</f>
        <v>269103290.47321427</v>
      </c>
      <c r="O325" s="50">
        <f>Q325</f>
        <v>301395685.32999998</v>
      </c>
      <c r="P325" s="51">
        <f>Q325/1.12</f>
        <v>269103290.47321427</v>
      </c>
      <c r="Q325" s="192">
        <f>Q324</f>
        <v>301395685.32999998</v>
      </c>
      <c r="R325" s="191"/>
      <c r="S325" s="190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126">
        <f>AC325*1.12</f>
        <v>0</v>
      </c>
      <c r="AE325" s="66"/>
      <c r="AF325" s="66">
        <f>AC325+Z325</f>
        <v>0</v>
      </c>
      <c r="AG325" s="66">
        <f>AD325+AA325</f>
        <v>0</v>
      </c>
      <c r="AH325" s="66"/>
      <c r="AI325" s="66"/>
      <c r="AJ325" s="66"/>
      <c r="AK325" s="66"/>
      <c r="AL325" s="66">
        <f>AL326</f>
        <v>104499.23375892857</v>
      </c>
      <c r="AM325" s="62">
        <f>AL325*1.12</f>
        <v>117039.14181000002</v>
      </c>
      <c r="AN325" s="66"/>
      <c r="AO325" s="64">
        <f>AL325-($AI$298/$AK$297*$AN$324)</f>
        <v>-315001.21609357884</v>
      </c>
      <c r="AP325" s="64">
        <f>AM325-($AJ$298/$AK$297*$AN$324)</f>
        <v>-352801.3620248083</v>
      </c>
      <c r="AQ325" s="62"/>
      <c r="AR325" s="43">
        <f>IF($AI$297=0,"",AL325/($AI$297/$AK$297*AN324))</f>
        <v>0.20835283616427602</v>
      </c>
      <c r="AS325" s="63"/>
      <c r="AT325" s="63">
        <f>AL325</f>
        <v>104499.23375892857</v>
      </c>
      <c r="AU325" s="63"/>
      <c r="AV325" s="64">
        <f>AL325</f>
        <v>104499.23375892857</v>
      </c>
      <c r="AW325" s="64">
        <f>AV325*1.12</f>
        <v>117039.14181000002</v>
      </c>
      <c r="AX325" s="62"/>
      <c r="AY325" s="62"/>
      <c r="AZ325" s="62"/>
      <c r="BA325" s="62"/>
      <c r="BB325" s="62"/>
      <c r="BC325" s="62"/>
      <c r="BD325" s="62"/>
      <c r="BE325" s="62"/>
      <c r="BF325" s="62"/>
      <c r="BG325" s="62"/>
      <c r="BH325" s="62"/>
      <c r="BI325" s="62"/>
      <c r="BJ325" s="62"/>
      <c r="BK325" s="62"/>
      <c r="BL325" s="62"/>
      <c r="BM325" s="59"/>
      <c r="BN325" s="59"/>
      <c r="BO325" s="59"/>
      <c r="BP325" s="59"/>
      <c r="BQ325" s="59"/>
      <c r="BR325" s="59"/>
      <c r="BS325" s="59"/>
      <c r="BT325" s="59"/>
      <c r="BU325" s="57"/>
      <c r="BV325" s="57"/>
      <c r="BW325" s="188"/>
      <c r="BX325" s="188"/>
    </row>
    <row r="326" spans="1:76" ht="17.25" customHeight="1" x14ac:dyDescent="0.25">
      <c r="A326" s="200"/>
      <c r="B326" s="191"/>
      <c r="C326" s="187" t="s">
        <v>6</v>
      </c>
      <c r="D326" s="187" t="s">
        <v>5</v>
      </c>
      <c r="E326" s="186"/>
      <c r="F326" s="186">
        <f>E326*1.12</f>
        <v>0</v>
      </c>
      <c r="G326" s="197"/>
      <c r="H326" s="196"/>
      <c r="I326" s="183"/>
      <c r="J326" s="183">
        <f>I326*1.12</f>
        <v>0</v>
      </c>
      <c r="K326" s="105"/>
      <c r="L326" s="226"/>
      <c r="M326" s="181"/>
      <c r="N326" s="50">
        <f>P326</f>
        <v>269103290.47321427</v>
      </c>
      <c r="O326" s="50">
        <f>Q326</f>
        <v>301395685.32999998</v>
      </c>
      <c r="P326" s="50">
        <f>Q326/1.12</f>
        <v>269103290.47321427</v>
      </c>
      <c r="Q326" s="180">
        <f>Q325</f>
        <v>301395685.32999998</v>
      </c>
      <c r="R326" s="56"/>
      <c r="S326" s="179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7">
        <f>AC326*1.12</f>
        <v>0</v>
      </c>
      <c r="AE326" s="46"/>
      <c r="AF326" s="46">
        <f>AC326+Z326</f>
        <v>0</v>
      </c>
      <c r="AG326" s="46">
        <f>AD326+AA326</f>
        <v>0</v>
      </c>
      <c r="AH326" s="46"/>
      <c r="AI326" s="46"/>
      <c r="AJ326" s="46"/>
      <c r="AK326" s="46"/>
      <c r="AL326" s="225">
        <f>37328.35478/1.12+38555.54769/1.12+21121.36768/1.12+20033.87166/1.12</f>
        <v>104499.23375892857</v>
      </c>
      <c r="AM326" s="41">
        <f>AL326*1.12</f>
        <v>117039.14181000002</v>
      </c>
      <c r="AN326" s="46"/>
      <c r="AO326" s="44">
        <f>AL326-($AI$299/$AK$297*$AN$324)</f>
        <v>-315001.21609357884</v>
      </c>
      <c r="AP326" s="44">
        <f>AM326-($AJ$299/$AK$297*$AN$324)</f>
        <v>-352801.3620248083</v>
      </c>
      <c r="AQ326" s="41"/>
      <c r="AR326" s="178">
        <f>AR325</f>
        <v>0.20835283616427602</v>
      </c>
      <c r="AS326" s="42"/>
      <c r="AT326" s="42">
        <f>AL326</f>
        <v>104499.23375892857</v>
      </c>
      <c r="AU326" s="42"/>
      <c r="AV326" s="44">
        <f>AV325</f>
        <v>104499.23375892857</v>
      </c>
      <c r="AW326" s="44">
        <f>AV326*1.12</f>
        <v>117039.14181000002</v>
      </c>
      <c r="AX326" s="41"/>
      <c r="AY326" s="41"/>
      <c r="AZ326" s="41"/>
      <c r="BA326" s="41"/>
      <c r="BB326" s="41"/>
      <c r="BC326" s="41"/>
      <c r="BD326" s="41"/>
      <c r="BE326" s="41"/>
      <c r="BF326" s="62"/>
      <c r="BG326" s="41"/>
      <c r="BH326" s="41"/>
      <c r="BI326" s="41"/>
      <c r="BJ326" s="41"/>
      <c r="BK326" s="41"/>
      <c r="BL326" s="41"/>
      <c r="BM326" s="39"/>
      <c r="BN326" s="39"/>
      <c r="BO326" s="39"/>
      <c r="BP326" s="39"/>
      <c r="BQ326" s="39"/>
      <c r="BR326" s="39"/>
      <c r="BS326" s="39"/>
      <c r="BT326" s="39"/>
      <c r="BW326" s="188"/>
      <c r="BX326" s="188"/>
    </row>
    <row r="327" spans="1:76" ht="17.25" customHeight="1" x14ac:dyDescent="0.25">
      <c r="A327" s="200"/>
      <c r="B327" s="191"/>
      <c r="C327" s="214" t="s">
        <v>9</v>
      </c>
      <c r="D327" s="214" t="s">
        <v>8</v>
      </c>
      <c r="E327" s="213"/>
      <c r="F327" s="213">
        <f>E327*1.12</f>
        <v>0</v>
      </c>
      <c r="G327" s="197"/>
      <c r="H327" s="196"/>
      <c r="I327" s="212"/>
      <c r="J327" s="212">
        <f>I327*1.12</f>
        <v>0</v>
      </c>
      <c r="K327" s="118" t="s">
        <v>31</v>
      </c>
      <c r="L327" s="224" t="s">
        <v>30</v>
      </c>
      <c r="M327" s="211" t="s">
        <v>29</v>
      </c>
      <c r="N327" s="210">
        <v>273580941.06</v>
      </c>
      <c r="O327" s="223">
        <f>N327</f>
        <v>273580941.06</v>
      </c>
      <c r="P327" s="210">
        <v>1447243184.0999999</v>
      </c>
      <c r="Q327" s="223">
        <f>P327</f>
        <v>1447243184.0999999</v>
      </c>
      <c r="R327" s="73" t="s">
        <v>28</v>
      </c>
      <c r="S327" s="208">
        <v>1281</v>
      </c>
      <c r="T327" s="206"/>
      <c r="U327" s="206"/>
      <c r="V327" s="206"/>
      <c r="W327" s="206"/>
      <c r="X327" s="206"/>
      <c r="Y327" s="206"/>
      <c r="Z327" s="206"/>
      <c r="AA327" s="206"/>
      <c r="AB327" s="206"/>
      <c r="AC327" s="206"/>
      <c r="AD327" s="207">
        <f>AC327*1.12</f>
        <v>0</v>
      </c>
      <c r="AE327" s="206"/>
      <c r="AF327" s="206">
        <f>Z327+AC327</f>
        <v>0</v>
      </c>
      <c r="AG327" s="206">
        <f>AA327+AD327</f>
        <v>0</v>
      </c>
      <c r="AH327" s="206">
        <f>AB327+AE327</f>
        <v>0</v>
      </c>
      <c r="AI327" s="206"/>
      <c r="AJ327" s="206"/>
      <c r="AK327" s="206"/>
      <c r="AL327" s="206"/>
      <c r="AM327" s="203">
        <f>AL327*1.12</f>
        <v>0</v>
      </c>
      <c r="AN327" s="206"/>
      <c r="AO327" s="203">
        <f>AL327-($AI$297/$AK$297*$AN$327)</f>
        <v>0</v>
      </c>
      <c r="AP327" s="203">
        <f>AM327-($AJ$297/$AK$297*$AN$327)</f>
        <v>0</v>
      </c>
      <c r="AQ327" s="203"/>
      <c r="AR327" s="205"/>
      <c r="AS327" s="204"/>
      <c r="AT327" s="204"/>
      <c r="AU327" s="204"/>
      <c r="AV327" s="203"/>
      <c r="AW327" s="203">
        <f>AV327*1.12</f>
        <v>0</v>
      </c>
      <c r="AX327" s="203">
        <f>S327</f>
        <v>1281</v>
      </c>
      <c r="AY327" s="203"/>
      <c r="AZ327" s="203"/>
      <c r="BA327" s="203"/>
      <c r="BB327" s="203"/>
      <c r="BC327" s="203"/>
      <c r="BD327" s="203"/>
      <c r="BE327" s="203"/>
      <c r="BF327" s="203"/>
      <c r="BG327" s="203"/>
      <c r="BH327" s="203"/>
      <c r="BI327" s="203"/>
      <c r="BJ327" s="203"/>
      <c r="BK327" s="203"/>
      <c r="BL327" s="203"/>
      <c r="BM327" s="202"/>
      <c r="BN327" s="202"/>
      <c r="BO327" s="202"/>
      <c r="BP327" s="202"/>
      <c r="BQ327" s="202"/>
      <c r="BR327" s="202"/>
      <c r="BS327" s="202"/>
      <c r="BT327" s="202"/>
      <c r="BU327" s="201"/>
      <c r="BV327" s="201"/>
      <c r="BW327" s="188"/>
      <c r="BX327" s="188"/>
    </row>
    <row r="328" spans="1:76" ht="17.25" customHeight="1" x14ac:dyDescent="0.25">
      <c r="A328" s="200"/>
      <c r="B328" s="191"/>
      <c r="C328" s="199" t="s">
        <v>6</v>
      </c>
      <c r="D328" s="199" t="s">
        <v>26</v>
      </c>
      <c r="E328" s="198"/>
      <c r="F328" s="198">
        <f>E328*1.12</f>
        <v>0</v>
      </c>
      <c r="G328" s="197"/>
      <c r="H328" s="196"/>
      <c r="I328" s="195"/>
      <c r="J328" s="195">
        <f>I328*1.12</f>
        <v>0</v>
      </c>
      <c r="K328" s="194"/>
      <c r="L328" s="222"/>
      <c r="M328" s="193"/>
      <c r="N328" s="50">
        <f>N327</f>
        <v>273580941.06</v>
      </c>
      <c r="O328" s="50">
        <f>O327</f>
        <v>273580941.06</v>
      </c>
      <c r="P328" s="51">
        <f>P327</f>
        <v>1447243184.0999999</v>
      </c>
      <c r="Q328" s="192">
        <f>Q327</f>
        <v>1447243184.0999999</v>
      </c>
      <c r="R328" s="191"/>
      <c r="S328" s="190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126">
        <f>AC328*1.12</f>
        <v>0</v>
      </c>
      <c r="AE328" s="66"/>
      <c r="AF328" s="66">
        <f>AC328+Z328</f>
        <v>0</v>
      </c>
      <c r="AG328" s="66">
        <f>AD328+AA328</f>
        <v>0</v>
      </c>
      <c r="AH328" s="66"/>
      <c r="AI328" s="66"/>
      <c r="AJ328" s="66"/>
      <c r="AK328" s="66"/>
      <c r="AL328" s="66">
        <f>AL329</f>
        <v>1488808.7356699998</v>
      </c>
      <c r="AM328" s="221">
        <f>AL328</f>
        <v>1488808.7356699998</v>
      </c>
      <c r="AN328" s="66"/>
      <c r="AO328" s="64">
        <f>AL328-($AI$298/$AK$297*$AN$327)</f>
        <v>1488808.7356699998</v>
      </c>
      <c r="AP328" s="64">
        <f>AM328-($AJ$298/$AK$297*$AN$327)</f>
        <v>1488808.7356699998</v>
      </c>
      <c r="AQ328" s="62"/>
      <c r="AR328" s="43"/>
      <c r="AS328" s="63"/>
      <c r="AT328" s="63">
        <f>AL328</f>
        <v>1488808.7356699998</v>
      </c>
      <c r="AU328" s="63"/>
      <c r="AV328" s="64"/>
      <c r="AW328" s="64">
        <f>AV328*1.12</f>
        <v>0</v>
      </c>
      <c r="AX328" s="62"/>
      <c r="AY328" s="62"/>
      <c r="AZ328" s="62"/>
      <c r="BA328" s="62"/>
      <c r="BB328" s="62"/>
      <c r="BC328" s="62"/>
      <c r="BD328" s="62"/>
      <c r="BE328" s="62"/>
      <c r="BF328" s="62"/>
      <c r="BG328" s="62"/>
      <c r="BH328" s="62"/>
      <c r="BI328" s="62"/>
      <c r="BJ328" s="62"/>
      <c r="BK328" s="62"/>
      <c r="BL328" s="62"/>
      <c r="BM328" s="59"/>
      <c r="BN328" s="59"/>
      <c r="BO328" s="59"/>
      <c r="BP328" s="59"/>
      <c r="BQ328" s="59"/>
      <c r="BR328" s="59"/>
      <c r="BS328" s="59"/>
      <c r="BT328" s="59"/>
      <c r="BU328" s="57"/>
      <c r="BV328" s="57"/>
      <c r="BW328" s="188"/>
      <c r="BX328" s="188"/>
    </row>
    <row r="329" spans="1:76" ht="17.25" customHeight="1" x14ac:dyDescent="0.25">
      <c r="A329" s="200"/>
      <c r="B329" s="191"/>
      <c r="C329" s="187" t="s">
        <v>6</v>
      </c>
      <c r="D329" s="187" t="s">
        <v>5</v>
      </c>
      <c r="E329" s="186"/>
      <c r="F329" s="186">
        <f>E329*1.12</f>
        <v>0</v>
      </c>
      <c r="G329" s="197"/>
      <c r="H329" s="196"/>
      <c r="I329" s="183"/>
      <c r="J329" s="183">
        <f>I329*1.12</f>
        <v>0</v>
      </c>
      <c r="K329" s="105"/>
      <c r="L329" s="220"/>
      <c r="M329" s="181"/>
      <c r="N329" s="50">
        <f>N328</f>
        <v>273580941.06</v>
      </c>
      <c r="O329" s="50">
        <f>O328</f>
        <v>273580941.06</v>
      </c>
      <c r="P329" s="50">
        <f>P328</f>
        <v>1447243184.0999999</v>
      </c>
      <c r="Q329" s="180">
        <f>Q328</f>
        <v>1447243184.0999999</v>
      </c>
      <c r="R329" s="56"/>
      <c r="S329" s="179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7">
        <f>AC329*1.12</f>
        <v>0</v>
      </c>
      <c r="AE329" s="46"/>
      <c r="AF329" s="46">
        <f>AC329+Z329</f>
        <v>0</v>
      </c>
      <c r="AG329" s="46">
        <f>AD329+AA329</f>
        <v>0</v>
      </c>
      <c r="AH329" s="46"/>
      <c r="AI329" s="46"/>
      <c r="AJ329" s="46"/>
      <c r="AK329" s="46"/>
      <c r="AL329" s="219">
        <f>36082.35753+119376.11461+891276.68667+385328.46625+54369.32861+2375.782</f>
        <v>1488808.7356699998</v>
      </c>
      <c r="AM329" s="218">
        <f>AL329</f>
        <v>1488808.7356699998</v>
      </c>
      <c r="AN329" s="46"/>
      <c r="AO329" s="44">
        <f>AL329-($AI$299/$AK$297*$AN$327)</f>
        <v>1488808.7356699998</v>
      </c>
      <c r="AP329" s="44">
        <f>AM329-($AJ$299/$AK$297*$AN$327)</f>
        <v>1488808.7356699998</v>
      </c>
      <c r="AQ329" s="41"/>
      <c r="AR329" s="178"/>
      <c r="AS329" s="42"/>
      <c r="AT329" s="42">
        <f>AL329</f>
        <v>1488808.7356699998</v>
      </c>
      <c r="AU329" s="42"/>
      <c r="AV329" s="44"/>
      <c r="AW329" s="44">
        <f>AV329*1.12</f>
        <v>0</v>
      </c>
      <c r="AX329" s="41"/>
      <c r="AY329" s="41"/>
      <c r="AZ329" s="41"/>
      <c r="BA329" s="41"/>
      <c r="BB329" s="41"/>
      <c r="BC329" s="41"/>
      <c r="BD329" s="41"/>
      <c r="BE329" s="41"/>
      <c r="BF329" s="62"/>
      <c r="BG329" s="41"/>
      <c r="BH329" s="41"/>
      <c r="BI329" s="41"/>
      <c r="BJ329" s="41"/>
      <c r="BK329" s="41"/>
      <c r="BL329" s="41"/>
      <c r="BM329" s="39"/>
      <c r="BN329" s="39"/>
      <c r="BO329" s="39"/>
      <c r="BP329" s="39"/>
      <c r="BQ329" s="39"/>
      <c r="BR329" s="39"/>
      <c r="BS329" s="39"/>
      <c r="BT329" s="39"/>
      <c r="BW329" s="188"/>
      <c r="BX329" s="188"/>
    </row>
    <row r="330" spans="1:76" ht="17.25" hidden="1" customHeight="1" outlineLevel="1" x14ac:dyDescent="0.25">
      <c r="A330" s="200"/>
      <c r="B330" s="191"/>
      <c r="C330" s="214" t="s">
        <v>9</v>
      </c>
      <c r="D330" s="214" t="s">
        <v>8</v>
      </c>
      <c r="E330" s="213"/>
      <c r="F330" s="213">
        <f>E330*1.12</f>
        <v>0</v>
      </c>
      <c r="G330" s="197"/>
      <c r="H330" s="196"/>
      <c r="I330" s="212"/>
      <c r="J330" s="212">
        <f>I330*1.12</f>
        <v>0</v>
      </c>
      <c r="K330" s="118"/>
      <c r="L330" s="217"/>
      <c r="M330" s="211" t="s">
        <v>13</v>
      </c>
      <c r="N330" s="210">
        <f>P330</f>
        <v>0</v>
      </c>
      <c r="O330" s="210">
        <f>Q330</f>
        <v>0</v>
      </c>
      <c r="P330" s="210">
        <f>Q330/1.12</f>
        <v>0</v>
      </c>
      <c r="Q330" s="209"/>
      <c r="R330" s="73"/>
      <c r="S330" s="208"/>
      <c r="T330" s="206"/>
      <c r="U330" s="206"/>
      <c r="V330" s="206"/>
      <c r="W330" s="206"/>
      <c r="X330" s="206"/>
      <c r="Y330" s="206"/>
      <c r="Z330" s="206"/>
      <c r="AA330" s="206"/>
      <c r="AB330" s="206"/>
      <c r="AC330" s="206"/>
      <c r="AD330" s="207">
        <f>AC330*1.12</f>
        <v>0</v>
      </c>
      <c r="AE330" s="206"/>
      <c r="AF330" s="206">
        <f>Z330+AC330</f>
        <v>0</v>
      </c>
      <c r="AG330" s="206">
        <f>AA330+AD330</f>
        <v>0</v>
      </c>
      <c r="AH330" s="206">
        <f>AB330+AE330</f>
        <v>0</v>
      </c>
      <c r="AI330" s="206"/>
      <c r="AJ330" s="206"/>
      <c r="AK330" s="206"/>
      <c r="AL330" s="206"/>
      <c r="AM330" s="203">
        <f>AL330*1.12</f>
        <v>0</v>
      </c>
      <c r="AN330" s="206"/>
      <c r="AO330" s="203">
        <f>AL330-($AI$297/$AK$297*$AN$330)</f>
        <v>0</v>
      </c>
      <c r="AP330" s="203">
        <f>AM330-($AJ$297/$AK$297*$AN$330)</f>
        <v>0</v>
      </c>
      <c r="AQ330" s="203"/>
      <c r="AR330" s="205" t="str">
        <f>IF(AI330=0,"",AL330/AI330)</f>
        <v/>
      </c>
      <c r="AS330" s="204"/>
      <c r="AT330" s="204"/>
      <c r="AU330" s="204"/>
      <c r="AV330" s="203"/>
      <c r="AW330" s="203">
        <f>AV330*1.12</f>
        <v>0</v>
      </c>
      <c r="AX330" s="203">
        <f>S330</f>
        <v>0</v>
      </c>
      <c r="AY330" s="203"/>
      <c r="AZ330" s="203"/>
      <c r="BA330" s="203"/>
      <c r="BB330" s="203"/>
      <c r="BC330" s="203"/>
      <c r="BD330" s="203"/>
      <c r="BE330" s="203"/>
      <c r="BF330" s="203"/>
      <c r="BG330" s="203"/>
      <c r="BH330" s="203"/>
      <c r="BI330" s="203"/>
      <c r="BJ330" s="203"/>
      <c r="BK330" s="203"/>
      <c r="BL330" s="203"/>
      <c r="BM330" s="202"/>
      <c r="BN330" s="202"/>
      <c r="BO330" s="202"/>
      <c r="BP330" s="202"/>
      <c r="BQ330" s="202"/>
      <c r="BR330" s="202"/>
      <c r="BS330" s="202"/>
      <c r="BT330" s="202"/>
      <c r="BU330" s="201"/>
      <c r="BV330" s="201"/>
      <c r="BW330" s="188"/>
      <c r="BX330" s="188"/>
    </row>
    <row r="331" spans="1:76" ht="17.25" hidden="1" customHeight="1" outlineLevel="1" x14ac:dyDescent="0.25">
      <c r="A331" s="200"/>
      <c r="B331" s="191"/>
      <c r="C331" s="199" t="s">
        <v>6</v>
      </c>
      <c r="D331" s="199" t="s">
        <v>26</v>
      </c>
      <c r="E331" s="198"/>
      <c r="F331" s="198">
        <f>E331*1.12</f>
        <v>0</v>
      </c>
      <c r="G331" s="197"/>
      <c r="H331" s="196"/>
      <c r="I331" s="195"/>
      <c r="J331" s="195">
        <f>I331*1.12</f>
        <v>0</v>
      </c>
      <c r="K331" s="194"/>
      <c r="L331" s="216"/>
      <c r="M331" s="193"/>
      <c r="N331" s="50">
        <f>P331</f>
        <v>0</v>
      </c>
      <c r="O331" s="50">
        <f>Q331</f>
        <v>0</v>
      </c>
      <c r="P331" s="51">
        <f>Q331/1.12</f>
        <v>0</v>
      </c>
      <c r="Q331" s="192">
        <f>Q330</f>
        <v>0</v>
      </c>
      <c r="R331" s="191"/>
      <c r="S331" s="190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126">
        <f>AC331*1.12</f>
        <v>0</v>
      </c>
      <c r="AE331" s="66"/>
      <c r="AF331" s="66">
        <f>AC331+Z331</f>
        <v>0</v>
      </c>
      <c r="AG331" s="66">
        <f>AD331+AA331</f>
        <v>0</v>
      </c>
      <c r="AH331" s="66"/>
      <c r="AI331" s="66"/>
      <c r="AJ331" s="66"/>
      <c r="AK331" s="66"/>
      <c r="AL331" s="66">
        <f>AL332</f>
        <v>0</v>
      </c>
      <c r="AM331" s="62">
        <f>AL331*1.12</f>
        <v>0</v>
      </c>
      <c r="AN331" s="66"/>
      <c r="AO331" s="64">
        <f>AL331-($AI$298/$AK$297*$AN$330)</f>
        <v>0</v>
      </c>
      <c r="AP331" s="64">
        <f>AM331-($AJ$298/$AK$297*$AN$330)</f>
        <v>0</v>
      </c>
      <c r="AQ331" s="62"/>
      <c r="AR331" s="189" t="str">
        <f>IF(AI331=0,"",AL331/AI331)</f>
        <v/>
      </c>
      <c r="AS331" s="63"/>
      <c r="AT331" s="63">
        <f>AL331</f>
        <v>0</v>
      </c>
      <c r="AU331" s="63"/>
      <c r="AV331" s="64"/>
      <c r="AW331" s="64">
        <f>AV331*1.12</f>
        <v>0</v>
      </c>
      <c r="AX331" s="62"/>
      <c r="AY331" s="62"/>
      <c r="AZ331" s="62"/>
      <c r="BA331" s="62"/>
      <c r="BB331" s="62"/>
      <c r="BC331" s="62"/>
      <c r="BD331" s="62"/>
      <c r="BE331" s="62"/>
      <c r="BF331" s="62"/>
      <c r="BG331" s="62"/>
      <c r="BH331" s="62"/>
      <c r="BI331" s="62"/>
      <c r="BJ331" s="62"/>
      <c r="BK331" s="62"/>
      <c r="BL331" s="62"/>
      <c r="BM331" s="59"/>
      <c r="BN331" s="59"/>
      <c r="BO331" s="59"/>
      <c r="BP331" s="59"/>
      <c r="BQ331" s="59"/>
      <c r="BR331" s="59"/>
      <c r="BS331" s="59"/>
      <c r="BT331" s="59"/>
      <c r="BU331" s="57"/>
      <c r="BV331" s="57"/>
      <c r="BW331" s="188"/>
      <c r="BX331" s="188"/>
    </row>
    <row r="332" spans="1:76" ht="17.25" hidden="1" customHeight="1" outlineLevel="1" x14ac:dyDescent="0.25">
      <c r="A332" s="200"/>
      <c r="B332" s="191"/>
      <c r="C332" s="187" t="s">
        <v>6</v>
      </c>
      <c r="D332" s="187" t="s">
        <v>5</v>
      </c>
      <c r="E332" s="186"/>
      <c r="F332" s="186">
        <f>E332*1.12</f>
        <v>0</v>
      </c>
      <c r="G332" s="197"/>
      <c r="H332" s="196"/>
      <c r="I332" s="183"/>
      <c r="J332" s="183">
        <f>I332*1.12</f>
        <v>0</v>
      </c>
      <c r="K332" s="105"/>
      <c r="L332" s="215"/>
      <c r="M332" s="181"/>
      <c r="N332" s="50">
        <f>P332</f>
        <v>0</v>
      </c>
      <c r="O332" s="50">
        <f>Q332</f>
        <v>0</v>
      </c>
      <c r="P332" s="50">
        <f>Q332/1.12</f>
        <v>0</v>
      </c>
      <c r="Q332" s="180">
        <f>Q331</f>
        <v>0</v>
      </c>
      <c r="R332" s="56"/>
      <c r="S332" s="179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7">
        <f>AC332*1.12</f>
        <v>0</v>
      </c>
      <c r="AE332" s="46"/>
      <c r="AF332" s="46">
        <f>AC332+Z332</f>
        <v>0</v>
      </c>
      <c r="AG332" s="46">
        <f>AD332+AA332</f>
        <v>0</v>
      </c>
      <c r="AH332" s="46"/>
      <c r="AI332" s="46"/>
      <c r="AJ332" s="46"/>
      <c r="AK332" s="46"/>
      <c r="AL332" s="46"/>
      <c r="AM332" s="41">
        <f>AL332*1.12</f>
        <v>0</v>
      </c>
      <c r="AN332" s="46"/>
      <c r="AO332" s="44">
        <f>AL332-($AI$299/$AK$297*$AN$330)</f>
        <v>0</v>
      </c>
      <c r="AP332" s="44">
        <f>AM332-($AJ$299/$AK$297*$AN$330)</f>
        <v>0</v>
      </c>
      <c r="AQ332" s="41"/>
      <c r="AR332" s="178" t="str">
        <f>IF(AI332=0,"",AL332/AI332)</f>
        <v/>
      </c>
      <c r="AS332" s="42"/>
      <c r="AT332" s="42">
        <f>AL332</f>
        <v>0</v>
      </c>
      <c r="AU332" s="42"/>
      <c r="AV332" s="44"/>
      <c r="AW332" s="44">
        <f>AV332*1.12</f>
        <v>0</v>
      </c>
      <c r="AX332" s="41"/>
      <c r="AY332" s="41"/>
      <c r="AZ332" s="41"/>
      <c r="BA332" s="41"/>
      <c r="BB332" s="41"/>
      <c r="BC332" s="41"/>
      <c r="BD332" s="41"/>
      <c r="BE332" s="41"/>
      <c r="BF332" s="62"/>
      <c r="BG332" s="41"/>
      <c r="BH332" s="41"/>
      <c r="BI332" s="41"/>
      <c r="BJ332" s="41"/>
      <c r="BK332" s="41"/>
      <c r="BL332" s="41"/>
      <c r="BM332" s="39"/>
      <c r="BN332" s="39"/>
      <c r="BO332" s="39"/>
      <c r="BP332" s="39"/>
      <c r="BQ332" s="39"/>
      <c r="BR332" s="39"/>
      <c r="BS332" s="39"/>
      <c r="BT332" s="39"/>
      <c r="BW332" s="188"/>
      <c r="BX332" s="188"/>
    </row>
    <row r="333" spans="1:76" ht="17.25" hidden="1" customHeight="1" outlineLevel="1" x14ac:dyDescent="0.25">
      <c r="A333" s="200"/>
      <c r="B333" s="191"/>
      <c r="C333" s="214" t="s">
        <v>9</v>
      </c>
      <c r="D333" s="214" t="s">
        <v>8</v>
      </c>
      <c r="E333" s="213"/>
      <c r="F333" s="213">
        <f>E333*1.12</f>
        <v>0</v>
      </c>
      <c r="G333" s="197"/>
      <c r="H333" s="196"/>
      <c r="I333" s="212"/>
      <c r="J333" s="212">
        <f>I333*1.12</f>
        <v>0</v>
      </c>
      <c r="K333" s="118"/>
      <c r="L333" s="217"/>
      <c r="M333" s="211" t="s">
        <v>13</v>
      </c>
      <c r="N333" s="210">
        <f>P333</f>
        <v>0</v>
      </c>
      <c r="O333" s="210">
        <f>Q333</f>
        <v>0</v>
      </c>
      <c r="P333" s="210">
        <f>Q333/1.12</f>
        <v>0</v>
      </c>
      <c r="Q333" s="209"/>
      <c r="R333" s="73"/>
      <c r="S333" s="208"/>
      <c r="T333" s="206"/>
      <c r="U333" s="206"/>
      <c r="V333" s="206"/>
      <c r="W333" s="206"/>
      <c r="X333" s="206"/>
      <c r="Y333" s="206"/>
      <c r="Z333" s="206"/>
      <c r="AA333" s="206"/>
      <c r="AB333" s="206"/>
      <c r="AC333" s="206"/>
      <c r="AD333" s="207">
        <f>AC333*1.12</f>
        <v>0</v>
      </c>
      <c r="AE333" s="206"/>
      <c r="AF333" s="206">
        <f>Z333+AC333</f>
        <v>0</v>
      </c>
      <c r="AG333" s="206">
        <f>AA333+AD333</f>
        <v>0</v>
      </c>
      <c r="AH333" s="206">
        <f>AB333+AE333</f>
        <v>0</v>
      </c>
      <c r="AI333" s="206"/>
      <c r="AJ333" s="206"/>
      <c r="AK333" s="206"/>
      <c r="AL333" s="206"/>
      <c r="AM333" s="203">
        <f>AL333*1.12</f>
        <v>0</v>
      </c>
      <c r="AN333" s="206"/>
      <c r="AO333" s="203">
        <f>AL333-($AI$297/$AK$297*$AN$333)</f>
        <v>0</v>
      </c>
      <c r="AP333" s="203">
        <f>AM333-($AJ$297/$AK$297*$AN$333)</f>
        <v>0</v>
      </c>
      <c r="AQ333" s="203"/>
      <c r="AR333" s="205" t="str">
        <f>IF(AI333=0,"",AL333/AI333)</f>
        <v/>
      </c>
      <c r="AS333" s="204"/>
      <c r="AT333" s="204"/>
      <c r="AU333" s="204"/>
      <c r="AV333" s="203"/>
      <c r="AW333" s="203">
        <f>AV333*1.12</f>
        <v>0</v>
      </c>
      <c r="AX333" s="203">
        <f>S333</f>
        <v>0</v>
      </c>
      <c r="AY333" s="203"/>
      <c r="AZ333" s="203"/>
      <c r="BA333" s="203"/>
      <c r="BB333" s="203"/>
      <c r="BC333" s="203"/>
      <c r="BD333" s="203"/>
      <c r="BE333" s="203"/>
      <c r="BF333" s="203"/>
      <c r="BG333" s="203"/>
      <c r="BH333" s="203"/>
      <c r="BI333" s="203"/>
      <c r="BJ333" s="203"/>
      <c r="BK333" s="203"/>
      <c r="BL333" s="203"/>
      <c r="BM333" s="202"/>
      <c r="BN333" s="202"/>
      <c r="BO333" s="202"/>
      <c r="BP333" s="202"/>
      <c r="BQ333" s="202"/>
      <c r="BR333" s="202"/>
      <c r="BS333" s="202"/>
      <c r="BT333" s="202"/>
      <c r="BU333" s="201"/>
      <c r="BV333" s="201"/>
      <c r="BW333" s="188"/>
      <c r="BX333" s="188"/>
    </row>
    <row r="334" spans="1:76" ht="17.25" hidden="1" customHeight="1" outlineLevel="1" x14ac:dyDescent="0.25">
      <c r="A334" s="200"/>
      <c r="B334" s="191"/>
      <c r="C334" s="199" t="s">
        <v>6</v>
      </c>
      <c r="D334" s="199" t="s">
        <v>26</v>
      </c>
      <c r="E334" s="198"/>
      <c r="F334" s="198">
        <f>E334*1.12</f>
        <v>0</v>
      </c>
      <c r="G334" s="197"/>
      <c r="H334" s="196"/>
      <c r="I334" s="195"/>
      <c r="J334" s="195">
        <f>I334*1.12</f>
        <v>0</v>
      </c>
      <c r="K334" s="194"/>
      <c r="L334" s="216"/>
      <c r="M334" s="193"/>
      <c r="N334" s="50">
        <f>P334</f>
        <v>0</v>
      </c>
      <c r="O334" s="50">
        <f>Q334</f>
        <v>0</v>
      </c>
      <c r="P334" s="51">
        <f>Q334/1.12</f>
        <v>0</v>
      </c>
      <c r="Q334" s="192">
        <f>Q333</f>
        <v>0</v>
      </c>
      <c r="R334" s="191"/>
      <c r="S334" s="190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126">
        <f>AC334*1.12</f>
        <v>0</v>
      </c>
      <c r="AE334" s="66"/>
      <c r="AF334" s="66">
        <f>AC334+Z334</f>
        <v>0</v>
      </c>
      <c r="AG334" s="66">
        <f>AD334+AA334</f>
        <v>0</v>
      </c>
      <c r="AH334" s="66"/>
      <c r="AI334" s="66"/>
      <c r="AJ334" s="66"/>
      <c r="AK334" s="66"/>
      <c r="AL334" s="66">
        <f>AL335</f>
        <v>0</v>
      </c>
      <c r="AM334" s="62">
        <f>AL334*1.12</f>
        <v>0</v>
      </c>
      <c r="AN334" s="66"/>
      <c r="AO334" s="64">
        <f>AL334-($AI$298/$AK$297*$AN$333)</f>
        <v>0</v>
      </c>
      <c r="AP334" s="64">
        <f>AM334-($AJ$298/$AK$297*$AN$333)</f>
        <v>0</v>
      </c>
      <c r="AQ334" s="62"/>
      <c r="AR334" s="189" t="str">
        <f>IF(AI334=0,"",AL334/AI334)</f>
        <v/>
      </c>
      <c r="AS334" s="63"/>
      <c r="AT334" s="63">
        <f>AL334</f>
        <v>0</v>
      </c>
      <c r="AU334" s="63"/>
      <c r="AV334" s="64"/>
      <c r="AW334" s="64">
        <f>AV334*1.12</f>
        <v>0</v>
      </c>
      <c r="AX334" s="62"/>
      <c r="AY334" s="62"/>
      <c r="AZ334" s="62"/>
      <c r="BA334" s="62"/>
      <c r="BB334" s="62"/>
      <c r="BC334" s="62"/>
      <c r="BD334" s="62"/>
      <c r="BE334" s="62"/>
      <c r="BF334" s="62"/>
      <c r="BG334" s="62"/>
      <c r="BH334" s="62"/>
      <c r="BI334" s="62"/>
      <c r="BJ334" s="62"/>
      <c r="BK334" s="62"/>
      <c r="BL334" s="62"/>
      <c r="BM334" s="59"/>
      <c r="BN334" s="59"/>
      <c r="BO334" s="59"/>
      <c r="BP334" s="59"/>
      <c r="BQ334" s="59"/>
      <c r="BR334" s="59"/>
      <c r="BS334" s="59"/>
      <c r="BT334" s="59"/>
      <c r="BU334" s="57"/>
      <c r="BV334" s="57"/>
      <c r="BW334" s="188"/>
      <c r="BX334" s="188"/>
    </row>
    <row r="335" spans="1:76" ht="17.25" hidden="1" customHeight="1" outlineLevel="1" x14ac:dyDescent="0.25">
      <c r="A335" s="200"/>
      <c r="B335" s="191"/>
      <c r="C335" s="187" t="s">
        <v>6</v>
      </c>
      <c r="D335" s="187" t="s">
        <v>5</v>
      </c>
      <c r="E335" s="186"/>
      <c r="F335" s="186">
        <f>E335*1.12</f>
        <v>0</v>
      </c>
      <c r="G335" s="197"/>
      <c r="H335" s="196"/>
      <c r="I335" s="183"/>
      <c r="J335" s="183">
        <f>I335*1.12</f>
        <v>0</v>
      </c>
      <c r="K335" s="105"/>
      <c r="L335" s="215"/>
      <c r="M335" s="181"/>
      <c r="N335" s="50">
        <f>P335</f>
        <v>0</v>
      </c>
      <c r="O335" s="50">
        <f>Q335</f>
        <v>0</v>
      </c>
      <c r="P335" s="50">
        <f>Q335/1.12</f>
        <v>0</v>
      </c>
      <c r="Q335" s="180">
        <f>Q334</f>
        <v>0</v>
      </c>
      <c r="R335" s="56"/>
      <c r="S335" s="179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7">
        <f>AC335*1.12</f>
        <v>0</v>
      </c>
      <c r="AE335" s="46"/>
      <c r="AF335" s="46">
        <f>AC335+Z335</f>
        <v>0</v>
      </c>
      <c r="AG335" s="46">
        <f>AD335+AA335</f>
        <v>0</v>
      </c>
      <c r="AH335" s="46"/>
      <c r="AI335" s="46"/>
      <c r="AJ335" s="46"/>
      <c r="AK335" s="46"/>
      <c r="AL335" s="46"/>
      <c r="AM335" s="41">
        <f>AL335*1.12</f>
        <v>0</v>
      </c>
      <c r="AN335" s="46"/>
      <c r="AO335" s="44">
        <f>AL335-($AI$299/$AK$297*$AN$333)</f>
        <v>0</v>
      </c>
      <c r="AP335" s="44">
        <f>AM335-($AJ$299/$AK$297*$AN$333)</f>
        <v>0</v>
      </c>
      <c r="AQ335" s="41"/>
      <c r="AR335" s="178" t="str">
        <f>IF(AI335=0,"",AL335/AI335)</f>
        <v/>
      </c>
      <c r="AS335" s="42"/>
      <c r="AT335" s="42">
        <f>AL335</f>
        <v>0</v>
      </c>
      <c r="AU335" s="42"/>
      <c r="AV335" s="44"/>
      <c r="AW335" s="44">
        <f>AV335*1.12</f>
        <v>0</v>
      </c>
      <c r="AX335" s="41"/>
      <c r="AY335" s="41"/>
      <c r="AZ335" s="41"/>
      <c r="BA335" s="41"/>
      <c r="BB335" s="41"/>
      <c r="BC335" s="41"/>
      <c r="BD335" s="41"/>
      <c r="BE335" s="41"/>
      <c r="BF335" s="62"/>
      <c r="BG335" s="41"/>
      <c r="BH335" s="41"/>
      <c r="BI335" s="41"/>
      <c r="BJ335" s="41"/>
      <c r="BK335" s="41"/>
      <c r="BL335" s="41"/>
      <c r="BM335" s="39"/>
      <c r="BN335" s="39"/>
      <c r="BO335" s="39"/>
      <c r="BP335" s="39"/>
      <c r="BQ335" s="39"/>
      <c r="BR335" s="39"/>
      <c r="BS335" s="39"/>
      <c r="BT335" s="39"/>
      <c r="BW335" s="188"/>
      <c r="BX335" s="188"/>
    </row>
    <row r="336" spans="1:76" ht="17.25" hidden="1" customHeight="1" outlineLevel="1" x14ac:dyDescent="0.25">
      <c r="A336" s="200"/>
      <c r="B336" s="191"/>
      <c r="C336" s="214" t="s">
        <v>9</v>
      </c>
      <c r="D336" s="214" t="s">
        <v>8</v>
      </c>
      <c r="E336" s="213"/>
      <c r="F336" s="213">
        <f>E336*1.12</f>
        <v>0</v>
      </c>
      <c r="G336" s="197"/>
      <c r="H336" s="196"/>
      <c r="I336" s="212"/>
      <c r="J336" s="212">
        <f>I336*1.12</f>
        <v>0</v>
      </c>
      <c r="K336" s="118"/>
      <c r="L336" s="217"/>
      <c r="M336" s="211" t="s">
        <v>13</v>
      </c>
      <c r="N336" s="210">
        <f>P336</f>
        <v>0</v>
      </c>
      <c r="O336" s="210">
        <f>Q336</f>
        <v>0</v>
      </c>
      <c r="P336" s="210">
        <f>Q336/1.12</f>
        <v>0</v>
      </c>
      <c r="Q336" s="209"/>
      <c r="R336" s="73"/>
      <c r="S336" s="208"/>
      <c r="T336" s="206"/>
      <c r="U336" s="206"/>
      <c r="V336" s="206"/>
      <c r="W336" s="206"/>
      <c r="X336" s="206"/>
      <c r="Y336" s="206"/>
      <c r="Z336" s="206"/>
      <c r="AA336" s="206"/>
      <c r="AB336" s="206"/>
      <c r="AC336" s="206"/>
      <c r="AD336" s="207">
        <f>AC336*1.12</f>
        <v>0</v>
      </c>
      <c r="AE336" s="206"/>
      <c r="AF336" s="206">
        <f>Z336+AC336</f>
        <v>0</v>
      </c>
      <c r="AG336" s="206">
        <f>AA336+AD336</f>
        <v>0</v>
      </c>
      <c r="AH336" s="206">
        <f>AB336+AE336</f>
        <v>0</v>
      </c>
      <c r="AI336" s="206"/>
      <c r="AJ336" s="206"/>
      <c r="AK336" s="206"/>
      <c r="AL336" s="206"/>
      <c r="AM336" s="203">
        <f>AL336*1.12</f>
        <v>0</v>
      </c>
      <c r="AN336" s="206"/>
      <c r="AO336" s="203">
        <f>AL336-($AI$297/$AK$297*$AN$336)</f>
        <v>0</v>
      </c>
      <c r="AP336" s="203">
        <f>AM336-($AJ$297/$AK$297*$AN$336)</f>
        <v>0</v>
      </c>
      <c r="AQ336" s="203"/>
      <c r="AR336" s="205" t="str">
        <f>IF(AI336=0,"",AL336/AI336)</f>
        <v/>
      </c>
      <c r="AS336" s="204"/>
      <c r="AT336" s="204"/>
      <c r="AU336" s="204"/>
      <c r="AV336" s="203"/>
      <c r="AW336" s="203">
        <f>AV336*1.12</f>
        <v>0</v>
      </c>
      <c r="AX336" s="203">
        <f>S336</f>
        <v>0</v>
      </c>
      <c r="AY336" s="203"/>
      <c r="AZ336" s="203"/>
      <c r="BA336" s="203"/>
      <c r="BB336" s="203"/>
      <c r="BC336" s="203"/>
      <c r="BD336" s="203"/>
      <c r="BE336" s="203"/>
      <c r="BF336" s="203"/>
      <c r="BG336" s="203"/>
      <c r="BH336" s="203"/>
      <c r="BI336" s="203"/>
      <c r="BJ336" s="203"/>
      <c r="BK336" s="203"/>
      <c r="BL336" s="203"/>
      <c r="BM336" s="202"/>
      <c r="BN336" s="202"/>
      <c r="BO336" s="202"/>
      <c r="BP336" s="202"/>
      <c r="BQ336" s="202"/>
      <c r="BR336" s="202"/>
      <c r="BS336" s="202"/>
      <c r="BT336" s="202"/>
      <c r="BU336" s="201"/>
      <c r="BV336" s="201"/>
      <c r="BW336" s="188"/>
      <c r="BX336" s="188"/>
    </row>
    <row r="337" spans="1:76" ht="17.25" hidden="1" customHeight="1" outlineLevel="1" x14ac:dyDescent="0.25">
      <c r="A337" s="200"/>
      <c r="B337" s="191"/>
      <c r="C337" s="199" t="s">
        <v>6</v>
      </c>
      <c r="D337" s="199" t="s">
        <v>26</v>
      </c>
      <c r="E337" s="198"/>
      <c r="F337" s="198">
        <f>E337*1.12</f>
        <v>0</v>
      </c>
      <c r="G337" s="197"/>
      <c r="H337" s="196"/>
      <c r="I337" s="195"/>
      <c r="J337" s="195">
        <f>I337*1.12</f>
        <v>0</v>
      </c>
      <c r="K337" s="194"/>
      <c r="L337" s="216"/>
      <c r="M337" s="193"/>
      <c r="N337" s="50">
        <f>P337</f>
        <v>0</v>
      </c>
      <c r="O337" s="50">
        <f>Q337</f>
        <v>0</v>
      </c>
      <c r="P337" s="51">
        <f>Q337/1.12</f>
        <v>0</v>
      </c>
      <c r="Q337" s="192">
        <f>Q336</f>
        <v>0</v>
      </c>
      <c r="R337" s="191"/>
      <c r="S337" s="190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126">
        <f>AC337*1.12</f>
        <v>0</v>
      </c>
      <c r="AE337" s="66"/>
      <c r="AF337" s="66">
        <f>AC337+Z337</f>
        <v>0</v>
      </c>
      <c r="AG337" s="66">
        <f>AD337+AA337</f>
        <v>0</v>
      </c>
      <c r="AH337" s="66"/>
      <c r="AI337" s="66"/>
      <c r="AJ337" s="66"/>
      <c r="AK337" s="66"/>
      <c r="AL337" s="66">
        <f>AL338</f>
        <v>0</v>
      </c>
      <c r="AM337" s="62">
        <f>AL337*1.12</f>
        <v>0</v>
      </c>
      <c r="AN337" s="66"/>
      <c r="AO337" s="64">
        <f>AL337-($AI$298/$AK$297*$AN$336)</f>
        <v>0</v>
      </c>
      <c r="AP337" s="64">
        <f>AM337-($AJ$298/$AK$297*$AN$336)</f>
        <v>0</v>
      </c>
      <c r="AQ337" s="62"/>
      <c r="AR337" s="189" t="str">
        <f>IF(AI337=0,"",AL337/AI337)</f>
        <v/>
      </c>
      <c r="AS337" s="63"/>
      <c r="AT337" s="63">
        <f>AL337</f>
        <v>0</v>
      </c>
      <c r="AU337" s="63"/>
      <c r="AV337" s="64">
        <f>AL337</f>
        <v>0</v>
      </c>
      <c r="AW337" s="64">
        <f>AV337*1.12</f>
        <v>0</v>
      </c>
      <c r="AX337" s="62"/>
      <c r="AY337" s="62"/>
      <c r="AZ337" s="62"/>
      <c r="BA337" s="62"/>
      <c r="BB337" s="62"/>
      <c r="BC337" s="62"/>
      <c r="BD337" s="62"/>
      <c r="BE337" s="62"/>
      <c r="BF337" s="62"/>
      <c r="BG337" s="62"/>
      <c r="BH337" s="62"/>
      <c r="BI337" s="62"/>
      <c r="BJ337" s="62"/>
      <c r="BK337" s="62"/>
      <c r="BL337" s="62"/>
      <c r="BM337" s="59"/>
      <c r="BN337" s="59"/>
      <c r="BO337" s="59"/>
      <c r="BP337" s="59"/>
      <c r="BQ337" s="59"/>
      <c r="BR337" s="59"/>
      <c r="BS337" s="59"/>
      <c r="BT337" s="59"/>
      <c r="BU337" s="57"/>
      <c r="BV337" s="57"/>
      <c r="BW337" s="188"/>
      <c r="BX337" s="188"/>
    </row>
    <row r="338" spans="1:76" ht="17.25" hidden="1" customHeight="1" outlineLevel="1" x14ac:dyDescent="0.25">
      <c r="A338" s="200"/>
      <c r="B338" s="191"/>
      <c r="C338" s="187" t="s">
        <v>6</v>
      </c>
      <c r="D338" s="187" t="s">
        <v>5</v>
      </c>
      <c r="E338" s="186"/>
      <c r="F338" s="186">
        <f>E338*1.12</f>
        <v>0</v>
      </c>
      <c r="G338" s="197"/>
      <c r="H338" s="196"/>
      <c r="I338" s="183"/>
      <c r="J338" s="183">
        <f>I338*1.12</f>
        <v>0</v>
      </c>
      <c r="K338" s="105"/>
      <c r="L338" s="215"/>
      <c r="M338" s="181"/>
      <c r="N338" s="50">
        <f>P338</f>
        <v>0</v>
      </c>
      <c r="O338" s="50">
        <f>Q338</f>
        <v>0</v>
      </c>
      <c r="P338" s="50">
        <f>Q338/1.12</f>
        <v>0</v>
      </c>
      <c r="Q338" s="180">
        <f>Q337</f>
        <v>0</v>
      </c>
      <c r="R338" s="56"/>
      <c r="S338" s="179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7">
        <f>AC338*1.12</f>
        <v>0</v>
      </c>
      <c r="AE338" s="46"/>
      <c r="AF338" s="46">
        <f>AC338+Z338</f>
        <v>0</v>
      </c>
      <c r="AG338" s="46">
        <f>AD338+AA338</f>
        <v>0</v>
      </c>
      <c r="AH338" s="46"/>
      <c r="AI338" s="46"/>
      <c r="AJ338" s="46"/>
      <c r="AK338" s="46"/>
      <c r="AL338" s="46"/>
      <c r="AM338" s="41">
        <f>AL338*1.12</f>
        <v>0</v>
      </c>
      <c r="AN338" s="46"/>
      <c r="AO338" s="44">
        <f>AL338-($AI$299/$AK$297*$AN$336)</f>
        <v>0</v>
      </c>
      <c r="AP338" s="44">
        <f>AM338-($AJ$299/$AK$297*$AN$336)</f>
        <v>0</v>
      </c>
      <c r="AQ338" s="41"/>
      <c r="AR338" s="178" t="str">
        <f>IF(AI338=0,"",AL338/AI338)</f>
        <v/>
      </c>
      <c r="AS338" s="42"/>
      <c r="AT338" s="42">
        <f>AL338</f>
        <v>0</v>
      </c>
      <c r="AU338" s="42"/>
      <c r="AV338" s="44">
        <f>AV337</f>
        <v>0</v>
      </c>
      <c r="AW338" s="44">
        <f>AV338*1.12</f>
        <v>0</v>
      </c>
      <c r="AX338" s="41"/>
      <c r="AY338" s="41"/>
      <c r="AZ338" s="41"/>
      <c r="BA338" s="41"/>
      <c r="BB338" s="41"/>
      <c r="BC338" s="41"/>
      <c r="BD338" s="41"/>
      <c r="BE338" s="41"/>
      <c r="BF338" s="62"/>
      <c r="BG338" s="41"/>
      <c r="BH338" s="41"/>
      <c r="BI338" s="41"/>
      <c r="BJ338" s="41"/>
      <c r="BK338" s="41"/>
      <c r="BL338" s="41"/>
      <c r="BM338" s="39"/>
      <c r="BN338" s="39"/>
      <c r="BO338" s="39"/>
      <c r="BP338" s="39"/>
      <c r="BQ338" s="39"/>
      <c r="BR338" s="39"/>
      <c r="BS338" s="39"/>
      <c r="BT338" s="39"/>
      <c r="BW338" s="188"/>
      <c r="BX338" s="188"/>
    </row>
    <row r="339" spans="1:76" ht="23.25" hidden="1" customHeight="1" outlineLevel="1" x14ac:dyDescent="0.25">
      <c r="A339" s="200"/>
      <c r="B339" s="191"/>
      <c r="C339" s="214" t="s">
        <v>9</v>
      </c>
      <c r="D339" s="214" t="s">
        <v>8</v>
      </c>
      <c r="E339" s="213"/>
      <c r="F339" s="213">
        <f>E339*1.12</f>
        <v>0</v>
      </c>
      <c r="G339" s="197"/>
      <c r="H339" s="196"/>
      <c r="I339" s="212"/>
      <c r="J339" s="212">
        <f>I339*1.12</f>
        <v>0</v>
      </c>
      <c r="K339" s="118"/>
      <c r="L339" s="182"/>
      <c r="M339" s="211" t="s">
        <v>13</v>
      </c>
      <c r="N339" s="210">
        <f>P339</f>
        <v>0</v>
      </c>
      <c r="O339" s="210">
        <f>Q339</f>
        <v>0</v>
      </c>
      <c r="P339" s="210">
        <f>Q339/1.12</f>
        <v>0</v>
      </c>
      <c r="Q339" s="209"/>
      <c r="R339" s="73"/>
      <c r="S339" s="208"/>
      <c r="T339" s="206"/>
      <c r="U339" s="206"/>
      <c r="V339" s="206"/>
      <c r="W339" s="206"/>
      <c r="X339" s="206"/>
      <c r="Y339" s="206"/>
      <c r="Z339" s="206"/>
      <c r="AA339" s="206"/>
      <c r="AB339" s="206"/>
      <c r="AC339" s="206"/>
      <c r="AD339" s="207">
        <f>AC339*1.12</f>
        <v>0</v>
      </c>
      <c r="AE339" s="206"/>
      <c r="AF339" s="206">
        <f>Z339+AC339</f>
        <v>0</v>
      </c>
      <c r="AG339" s="206">
        <f>AA339+AD339</f>
        <v>0</v>
      </c>
      <c r="AH339" s="206">
        <f>AB339+AE339</f>
        <v>0</v>
      </c>
      <c r="AI339" s="206"/>
      <c r="AJ339" s="206"/>
      <c r="AK339" s="206"/>
      <c r="AL339" s="206"/>
      <c r="AM339" s="203">
        <f>AL339*1.12</f>
        <v>0</v>
      </c>
      <c r="AN339" s="206"/>
      <c r="AO339" s="203">
        <f>AL339-($AI$297/$AK$297*$AN$339)</f>
        <v>0</v>
      </c>
      <c r="AP339" s="203">
        <f>AM339-($AJ$297/$AK$297*$AN$339)</f>
        <v>0</v>
      </c>
      <c r="AQ339" s="203"/>
      <c r="AR339" s="205" t="str">
        <f>IF(AI339=0,"",AL339/AI339)</f>
        <v/>
      </c>
      <c r="AS339" s="204"/>
      <c r="AT339" s="204"/>
      <c r="AU339" s="204"/>
      <c r="AV339" s="203">
        <f>AL339</f>
        <v>0</v>
      </c>
      <c r="AW339" s="203">
        <f>AV339*1.12</f>
        <v>0</v>
      </c>
      <c r="AX339" s="203">
        <f>AN339</f>
        <v>0</v>
      </c>
      <c r="AY339" s="203"/>
      <c r="AZ339" s="203"/>
      <c r="BA339" s="203"/>
      <c r="BB339" s="203"/>
      <c r="BC339" s="203"/>
      <c r="BD339" s="203"/>
      <c r="BE339" s="203"/>
      <c r="BF339" s="203"/>
      <c r="BG339" s="203"/>
      <c r="BH339" s="203"/>
      <c r="BI339" s="203"/>
      <c r="BJ339" s="203"/>
      <c r="BK339" s="203"/>
      <c r="BL339" s="203"/>
      <c r="BM339" s="202"/>
      <c r="BN339" s="202"/>
      <c r="BO339" s="202"/>
      <c r="BP339" s="202"/>
      <c r="BQ339" s="202"/>
      <c r="BR339" s="202"/>
      <c r="BS339" s="202"/>
      <c r="BT339" s="202"/>
      <c r="BU339" s="201"/>
      <c r="BV339" s="201"/>
      <c r="BW339" s="188"/>
      <c r="BX339" s="188"/>
    </row>
    <row r="340" spans="1:76" ht="23.25" hidden="1" customHeight="1" outlineLevel="1" x14ac:dyDescent="0.25">
      <c r="A340" s="200"/>
      <c r="B340" s="191"/>
      <c r="C340" s="199" t="s">
        <v>6</v>
      </c>
      <c r="D340" s="199" t="s">
        <v>26</v>
      </c>
      <c r="E340" s="198"/>
      <c r="F340" s="198">
        <f>E340*1.12</f>
        <v>0</v>
      </c>
      <c r="G340" s="197"/>
      <c r="H340" s="196"/>
      <c r="I340" s="195"/>
      <c r="J340" s="195">
        <f>I340*1.12</f>
        <v>0</v>
      </c>
      <c r="K340" s="194"/>
      <c r="L340" s="182"/>
      <c r="M340" s="193"/>
      <c r="N340" s="50">
        <f>P340</f>
        <v>0</v>
      </c>
      <c r="O340" s="50">
        <f>Q340</f>
        <v>0</v>
      </c>
      <c r="P340" s="51">
        <f>Q340/1.12</f>
        <v>0</v>
      </c>
      <c r="Q340" s="192">
        <f>Q339</f>
        <v>0</v>
      </c>
      <c r="R340" s="191"/>
      <c r="S340" s="190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126">
        <f>AC340*1.12</f>
        <v>0</v>
      </c>
      <c r="AE340" s="66"/>
      <c r="AF340" s="66">
        <f>AC340+Z340</f>
        <v>0</v>
      </c>
      <c r="AG340" s="66">
        <f>AD340+AA340</f>
        <v>0</v>
      </c>
      <c r="AH340" s="66"/>
      <c r="AI340" s="66"/>
      <c r="AJ340" s="66"/>
      <c r="AK340" s="66"/>
      <c r="AL340" s="66">
        <f>AL341</f>
        <v>0</v>
      </c>
      <c r="AM340" s="62">
        <f>AL340*1.12</f>
        <v>0</v>
      </c>
      <c r="AN340" s="66"/>
      <c r="AO340" s="64">
        <f>AL340-($AI$298/$AK$297*$AN$339)</f>
        <v>0</v>
      </c>
      <c r="AP340" s="64">
        <f>AM340-($AJ$298/$AK$297*$AN$339)</f>
        <v>0</v>
      </c>
      <c r="AQ340" s="62"/>
      <c r="AR340" s="189" t="str">
        <f>IF(AI340=0,"",AL340/AI340)</f>
        <v/>
      </c>
      <c r="AS340" s="63"/>
      <c r="AT340" s="63">
        <f>AL340</f>
        <v>0</v>
      </c>
      <c r="AU340" s="63"/>
      <c r="AV340" s="64"/>
      <c r="AW340" s="64">
        <f>AV340*1.12</f>
        <v>0</v>
      </c>
      <c r="AX340" s="62"/>
      <c r="AY340" s="62"/>
      <c r="AZ340" s="62"/>
      <c r="BA340" s="62"/>
      <c r="BB340" s="62"/>
      <c r="BC340" s="62"/>
      <c r="BD340" s="62"/>
      <c r="BE340" s="62"/>
      <c r="BF340" s="62"/>
      <c r="BG340" s="62"/>
      <c r="BH340" s="62"/>
      <c r="BI340" s="62"/>
      <c r="BJ340" s="62"/>
      <c r="BK340" s="62"/>
      <c r="BL340" s="62"/>
      <c r="BM340" s="59"/>
      <c r="BN340" s="59"/>
      <c r="BO340" s="59"/>
      <c r="BP340" s="59"/>
      <c r="BQ340" s="59"/>
      <c r="BR340" s="59"/>
      <c r="BS340" s="59"/>
      <c r="BT340" s="59"/>
      <c r="BU340" s="57"/>
      <c r="BV340" s="57"/>
      <c r="BW340" s="188"/>
      <c r="BX340" s="188"/>
    </row>
    <row r="341" spans="1:76" ht="23.25" hidden="1" customHeight="1" outlineLevel="1" x14ac:dyDescent="0.25">
      <c r="A341" s="55"/>
      <c r="B341" s="56"/>
      <c r="C341" s="187" t="s">
        <v>6</v>
      </c>
      <c r="D341" s="187" t="s">
        <v>5</v>
      </c>
      <c r="E341" s="186"/>
      <c r="F341" s="186">
        <f>E341*1.12</f>
        <v>0</v>
      </c>
      <c r="G341" s="185"/>
      <c r="H341" s="184"/>
      <c r="I341" s="183"/>
      <c r="J341" s="183">
        <f>I341*1.12</f>
        <v>0</v>
      </c>
      <c r="K341" s="105"/>
      <c r="L341" s="182"/>
      <c r="M341" s="181"/>
      <c r="N341" s="50">
        <f>P341</f>
        <v>0</v>
      </c>
      <c r="O341" s="50">
        <f>Q341</f>
        <v>0</v>
      </c>
      <c r="P341" s="50">
        <f>Q341/1.12</f>
        <v>0</v>
      </c>
      <c r="Q341" s="180">
        <f>Q340</f>
        <v>0</v>
      </c>
      <c r="R341" s="56"/>
      <c r="S341" s="179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7">
        <f>AC341*1.12</f>
        <v>0</v>
      </c>
      <c r="AE341" s="46"/>
      <c r="AF341" s="46">
        <f>AC341+Z341</f>
        <v>0</v>
      </c>
      <c r="AG341" s="46">
        <f>AD341+AA341</f>
        <v>0</v>
      </c>
      <c r="AH341" s="46"/>
      <c r="AI341" s="46"/>
      <c r="AJ341" s="46"/>
      <c r="AK341" s="46"/>
      <c r="AL341" s="46"/>
      <c r="AM341" s="41">
        <f>AL341*1.12</f>
        <v>0</v>
      </c>
      <c r="AN341" s="46"/>
      <c r="AO341" s="44">
        <f>AL341-($AI$299/$AK$297*$AN$339)</f>
        <v>0</v>
      </c>
      <c r="AP341" s="44">
        <f>AM341-($AJ$299/$AK$297*$AN$339)</f>
        <v>0</v>
      </c>
      <c r="AQ341" s="41"/>
      <c r="AR341" s="178" t="str">
        <f>IF(AI341=0,"",AL341/AI341)</f>
        <v/>
      </c>
      <c r="AS341" s="42"/>
      <c r="AT341" s="42">
        <f>AL341</f>
        <v>0</v>
      </c>
      <c r="AU341" s="42"/>
      <c r="AV341" s="44">
        <f>AV340</f>
        <v>0</v>
      </c>
      <c r="AW341" s="44">
        <f>AV341*1.12</f>
        <v>0</v>
      </c>
      <c r="AX341" s="41"/>
      <c r="AY341" s="41"/>
      <c r="AZ341" s="41"/>
      <c r="BA341" s="41"/>
      <c r="BB341" s="41"/>
      <c r="BC341" s="41"/>
      <c r="BD341" s="41"/>
      <c r="BE341" s="41"/>
      <c r="BF341" s="62"/>
      <c r="BG341" s="41"/>
      <c r="BH341" s="41"/>
      <c r="BI341" s="41"/>
      <c r="BJ341" s="41"/>
      <c r="BK341" s="41"/>
      <c r="BL341" s="41"/>
      <c r="BM341" s="39"/>
      <c r="BN341" s="39"/>
      <c r="BO341" s="39"/>
      <c r="BP341" s="39"/>
      <c r="BQ341" s="39"/>
      <c r="BR341" s="39"/>
      <c r="BS341" s="39"/>
      <c r="BT341" s="39"/>
      <c r="BW341" s="177"/>
      <c r="BX341" s="177"/>
    </row>
    <row r="342" spans="1:76" s="161" customFormat="1" ht="17.25" customHeight="1" collapsed="1" x14ac:dyDescent="0.25">
      <c r="A342" s="160"/>
      <c r="B342" s="159" t="s">
        <v>27</v>
      </c>
      <c r="C342" s="174" t="s">
        <v>9</v>
      </c>
      <c r="D342" s="174" t="s">
        <v>8</v>
      </c>
      <c r="E342" s="166">
        <f>E345+E361</f>
        <v>201874</v>
      </c>
      <c r="F342" s="166">
        <f>F345+F361</f>
        <v>226098.88000000003</v>
      </c>
      <c r="G342" s="173"/>
      <c r="H342" s="166"/>
      <c r="I342" s="166">
        <f>I345+I361</f>
        <v>65089</v>
      </c>
      <c r="J342" s="166">
        <f>J345+J361</f>
        <v>72899.680000000008</v>
      </c>
      <c r="K342" s="169"/>
      <c r="L342" s="172"/>
      <c r="M342" s="171"/>
      <c r="N342" s="170">
        <f>N345+N361</f>
        <v>201874857.14285713</v>
      </c>
      <c r="O342" s="170">
        <f>O345+O361</f>
        <v>226099840</v>
      </c>
      <c r="P342" s="170">
        <f>P345+P361</f>
        <v>201874857.14285713</v>
      </c>
      <c r="Q342" s="170">
        <f>Q345+Q361</f>
        <v>226099840</v>
      </c>
      <c r="R342" s="169"/>
      <c r="S342" s="166"/>
      <c r="T342" s="166">
        <f>T345+T361</f>
        <v>0</v>
      </c>
      <c r="U342" s="166">
        <f>U345+U361</f>
        <v>0</v>
      </c>
      <c r="V342" s="168"/>
      <c r="W342" s="166">
        <f>W345+W361</f>
        <v>0</v>
      </c>
      <c r="X342" s="166">
        <f>X345+X361</f>
        <v>0</v>
      </c>
      <c r="Y342" s="168"/>
      <c r="Z342" s="166">
        <f>Z345+Z361</f>
        <v>17143</v>
      </c>
      <c r="AA342" s="166">
        <f>AA345+AA361</f>
        <v>19200.160000000003</v>
      </c>
      <c r="AB342" s="168"/>
      <c r="AC342" s="166">
        <f>AC345+AC361</f>
        <v>119642</v>
      </c>
      <c r="AD342" s="166">
        <f>AD345+AD361</f>
        <v>133999.04000000001</v>
      </c>
      <c r="AE342" s="168"/>
      <c r="AF342" s="166">
        <f>AF345+AF361</f>
        <v>136785</v>
      </c>
      <c r="AG342" s="166">
        <f>AG345+AG361</f>
        <v>153199.20000000001</v>
      </c>
      <c r="AH342" s="168"/>
      <c r="AI342" s="166">
        <f>AI345+AI361</f>
        <v>65089</v>
      </c>
      <c r="AJ342" s="166">
        <f>AJ345+AJ361</f>
        <v>72899.680000000008</v>
      </c>
      <c r="AK342" s="168"/>
      <c r="AL342" s="166">
        <f>AL345+AL361</f>
        <v>0</v>
      </c>
      <c r="AM342" s="166">
        <f>AM345+AM361</f>
        <v>0</v>
      </c>
      <c r="AN342" s="168"/>
      <c r="AO342" s="166">
        <f>AO345+AO361</f>
        <v>-65089</v>
      </c>
      <c r="AP342" s="166">
        <f>AP345+AP361</f>
        <v>-72899.680000000008</v>
      </c>
      <c r="AQ342" s="166"/>
      <c r="AR342" s="165">
        <f>IF(AI342=0,"",AL342/AI342)</f>
        <v>0</v>
      </c>
      <c r="AS342" s="167">
        <f>AS345+AS361</f>
        <v>0</v>
      </c>
      <c r="AT342" s="167">
        <f>AT345+AT361</f>
        <v>0</v>
      </c>
      <c r="AU342" s="167">
        <f>AU345+AU361</f>
        <v>0</v>
      </c>
      <c r="AV342" s="166">
        <f>AV345+AV361</f>
        <v>132189107.57142855</v>
      </c>
      <c r="AW342" s="166">
        <f>AW345+AW361</f>
        <v>148051800.48000002</v>
      </c>
      <c r="AX342" s="166">
        <f>AX345+AX361</f>
        <v>0</v>
      </c>
      <c r="AY342" s="166">
        <f>AY345+AY361</f>
        <v>0</v>
      </c>
      <c r="AZ342" s="166">
        <f>AZ345+AZ361</f>
        <v>0</v>
      </c>
      <c r="BA342" s="166">
        <f>BA345+BA361</f>
        <v>0</v>
      </c>
      <c r="BB342" s="166">
        <f>BB345+BB361</f>
        <v>0</v>
      </c>
      <c r="BC342" s="166">
        <f>BC345+BC361</f>
        <v>0</v>
      </c>
      <c r="BD342" s="166">
        <f>BD345+BD361</f>
        <v>0</v>
      </c>
      <c r="BE342" s="166">
        <f>BE345+BE361</f>
        <v>0</v>
      </c>
      <c r="BF342" s="166">
        <f>BF345+BF361</f>
        <v>0</v>
      </c>
      <c r="BG342" s="166">
        <f>BG345+BG361</f>
        <v>0</v>
      </c>
      <c r="BH342" s="166">
        <f>BH345+BH361</f>
        <v>0</v>
      </c>
      <c r="BI342" s="166">
        <f>BI345+BI361</f>
        <v>0</v>
      </c>
      <c r="BJ342" s="166">
        <f>BJ345+BJ361</f>
        <v>0</v>
      </c>
      <c r="BK342" s="166">
        <f>BK345+BK361</f>
        <v>0</v>
      </c>
      <c r="BL342" s="166">
        <f>BL345+BL361</f>
        <v>-65089</v>
      </c>
      <c r="BM342" s="165"/>
      <c r="BN342" s="165">
        <f>BN345</f>
        <v>0</v>
      </c>
      <c r="BO342" s="166">
        <f>BO345+BO361</f>
        <v>0</v>
      </c>
      <c r="BP342" s="166">
        <f>BP345+BP361</f>
        <v>0</v>
      </c>
      <c r="BQ342" s="166">
        <f>BQ345+BQ361</f>
        <v>0</v>
      </c>
      <c r="BR342" s="165"/>
      <c r="BS342" s="165"/>
      <c r="BT342" s="164"/>
      <c r="BW342" s="176">
        <f>SUM(AY342:BL342)</f>
        <v>-65089</v>
      </c>
      <c r="BX342" s="175">
        <f>AO342-BW342</f>
        <v>0</v>
      </c>
    </row>
    <row r="343" spans="1:76" s="161" customFormat="1" ht="17.25" customHeight="1" x14ac:dyDescent="0.25">
      <c r="A343" s="160"/>
      <c r="B343" s="159"/>
      <c r="C343" s="174" t="s">
        <v>6</v>
      </c>
      <c r="D343" s="174" t="s">
        <v>26</v>
      </c>
      <c r="E343" s="166">
        <f>E346+E362</f>
        <v>187410</v>
      </c>
      <c r="F343" s="166">
        <f>F346+F362</f>
        <v>209899.2</v>
      </c>
      <c r="G343" s="173"/>
      <c r="H343" s="166"/>
      <c r="I343" s="166">
        <f>I346+I362</f>
        <v>2679</v>
      </c>
      <c r="J343" s="166">
        <f>J346+J362</f>
        <v>3000.4800000000005</v>
      </c>
      <c r="K343" s="169"/>
      <c r="L343" s="172"/>
      <c r="M343" s="171"/>
      <c r="N343" s="170">
        <f>N346+N362</f>
        <v>201874857.14285713</v>
      </c>
      <c r="O343" s="170">
        <f>O346+O362</f>
        <v>226099840</v>
      </c>
      <c r="P343" s="170">
        <f>P346+P362</f>
        <v>201874857.14285713</v>
      </c>
      <c r="Q343" s="170">
        <f>Q346+Q362</f>
        <v>226099840</v>
      </c>
      <c r="R343" s="169"/>
      <c r="S343" s="166"/>
      <c r="T343" s="166">
        <f>T346+T362</f>
        <v>0</v>
      </c>
      <c r="U343" s="166">
        <f>U346+U362</f>
        <v>0</v>
      </c>
      <c r="V343" s="168"/>
      <c r="W343" s="166">
        <f>W346+W362</f>
        <v>0</v>
      </c>
      <c r="X343" s="166">
        <f>X346+X362</f>
        <v>0</v>
      </c>
      <c r="Y343" s="168"/>
      <c r="Z343" s="166">
        <f>Z346+Z362</f>
        <v>0</v>
      </c>
      <c r="AA343" s="166">
        <f>AA346+AA362</f>
        <v>0</v>
      </c>
      <c r="AB343" s="168"/>
      <c r="AC343" s="166">
        <f>AC346+AC362</f>
        <v>184731</v>
      </c>
      <c r="AD343" s="166">
        <f>AD346+AD362</f>
        <v>206898.72</v>
      </c>
      <c r="AE343" s="168"/>
      <c r="AF343" s="166">
        <f>AF346+AF362</f>
        <v>184731</v>
      </c>
      <c r="AG343" s="166">
        <f>AG346+AG362</f>
        <v>206898.72</v>
      </c>
      <c r="AH343" s="168"/>
      <c r="AI343" s="166">
        <f>AI346+AI362</f>
        <v>2679</v>
      </c>
      <c r="AJ343" s="166">
        <f>AJ346+AJ362</f>
        <v>3000.4800000000005</v>
      </c>
      <c r="AK343" s="168"/>
      <c r="AL343" s="166">
        <f>AL346+AL362</f>
        <v>0</v>
      </c>
      <c r="AM343" s="166">
        <f>AM346+AM362</f>
        <v>0</v>
      </c>
      <c r="AN343" s="168"/>
      <c r="AO343" s="166">
        <f>AO346+AO362</f>
        <v>-2679</v>
      </c>
      <c r="AP343" s="166">
        <f>AP346+AP362</f>
        <v>-3000.4800000000005</v>
      </c>
      <c r="AQ343" s="166"/>
      <c r="AR343" s="165">
        <f>IF(AI343=0,"",AL343/AI343)</f>
        <v>0</v>
      </c>
      <c r="AS343" s="167">
        <f>AS346+AS362</f>
        <v>0</v>
      </c>
      <c r="AT343" s="167">
        <f>AT346+AT362</f>
        <v>0</v>
      </c>
      <c r="AU343" s="167">
        <f>AU346+AU362</f>
        <v>0</v>
      </c>
      <c r="AV343" s="166">
        <f>AV346+AV362</f>
        <v>187225840.4285714</v>
      </c>
      <c r="AW343" s="166">
        <f>AW346+AW362</f>
        <v>209692940.79999998</v>
      </c>
      <c r="AX343" s="166">
        <f>AX346+AX362</f>
        <v>0</v>
      </c>
      <c r="AY343" s="166">
        <f>AY346+AY362</f>
        <v>0</v>
      </c>
      <c r="AZ343" s="166">
        <f>AZ346+AZ362</f>
        <v>0</v>
      </c>
      <c r="BA343" s="166">
        <f>BA346+BA362</f>
        <v>0</v>
      </c>
      <c r="BB343" s="166">
        <f>BB346+BB362</f>
        <v>0</v>
      </c>
      <c r="BC343" s="166">
        <f>BC346+BC362</f>
        <v>0</v>
      </c>
      <c r="BD343" s="166">
        <f>BD346+BD362</f>
        <v>0</v>
      </c>
      <c r="BE343" s="166">
        <f>BE346+BE362</f>
        <v>0</v>
      </c>
      <c r="BF343" s="166">
        <f>BF346+BF362</f>
        <v>0</v>
      </c>
      <c r="BG343" s="166">
        <f>BG346+BG362</f>
        <v>0</v>
      </c>
      <c r="BH343" s="166">
        <f>BH346+BH362</f>
        <v>0</v>
      </c>
      <c r="BI343" s="166">
        <f>BI346+BI362</f>
        <v>0</v>
      </c>
      <c r="BJ343" s="166">
        <f>BJ346+BJ362</f>
        <v>0</v>
      </c>
      <c r="BK343" s="166">
        <f>BK346+BK362</f>
        <v>0</v>
      </c>
      <c r="BL343" s="166">
        <f>BL346+BL362</f>
        <v>0</v>
      </c>
      <c r="BM343" s="165"/>
      <c r="BN343" s="165">
        <f>BN346</f>
        <v>0</v>
      </c>
      <c r="BO343" s="166">
        <f>BO346+BO362</f>
        <v>0</v>
      </c>
      <c r="BP343" s="166">
        <f>BP346+BP362</f>
        <v>0</v>
      </c>
      <c r="BQ343" s="166">
        <f>BQ346+BQ362</f>
        <v>0</v>
      </c>
      <c r="BR343" s="165"/>
      <c r="BS343" s="165"/>
      <c r="BT343" s="164"/>
      <c r="BW343" s="163"/>
      <c r="BX343" s="162"/>
    </row>
    <row r="344" spans="1:76" s="145" customFormat="1" ht="17.25" customHeight="1" x14ac:dyDescent="0.25">
      <c r="A344" s="160"/>
      <c r="B344" s="159"/>
      <c r="C344" s="158" t="s">
        <v>6</v>
      </c>
      <c r="D344" s="158" t="s">
        <v>5</v>
      </c>
      <c r="E344" s="150">
        <f>E346+E362</f>
        <v>187410</v>
      </c>
      <c r="F344" s="150">
        <f>F346+F362</f>
        <v>209899.2</v>
      </c>
      <c r="G344" s="157"/>
      <c r="H344" s="150"/>
      <c r="I344" s="150">
        <f>I346+I362</f>
        <v>2679</v>
      </c>
      <c r="J344" s="150">
        <f>J346+J362</f>
        <v>3000.4800000000005</v>
      </c>
      <c r="K344" s="153"/>
      <c r="L344" s="156"/>
      <c r="M344" s="155"/>
      <c r="N344" s="154">
        <f>N346+N362</f>
        <v>201874857.14285713</v>
      </c>
      <c r="O344" s="154">
        <f>O346+O362</f>
        <v>226099840</v>
      </c>
      <c r="P344" s="154">
        <f>P346+P362</f>
        <v>201874857.14285713</v>
      </c>
      <c r="Q344" s="154">
        <f>Q346+Q362</f>
        <v>226099840</v>
      </c>
      <c r="R344" s="153"/>
      <c r="S344" s="150"/>
      <c r="T344" s="150">
        <f>T346+T362</f>
        <v>0</v>
      </c>
      <c r="U344" s="150">
        <f>U346+U362</f>
        <v>0</v>
      </c>
      <c r="V344" s="152"/>
      <c r="W344" s="150">
        <f>W346+W362</f>
        <v>0</v>
      </c>
      <c r="X344" s="150">
        <f>X346+X362</f>
        <v>0</v>
      </c>
      <c r="Y344" s="152"/>
      <c r="Z344" s="150">
        <f>Z346+Z362</f>
        <v>0</v>
      </c>
      <c r="AA344" s="150">
        <f>AA346+AA362</f>
        <v>0</v>
      </c>
      <c r="AB344" s="152"/>
      <c r="AC344" s="150">
        <f>AC346+AC362</f>
        <v>184731</v>
      </c>
      <c r="AD344" s="150">
        <f>AD346+AD362</f>
        <v>206898.72</v>
      </c>
      <c r="AE344" s="152"/>
      <c r="AF344" s="150">
        <f>AF346+AF362</f>
        <v>184731</v>
      </c>
      <c r="AG344" s="150">
        <f>AG346+AG362</f>
        <v>206898.72</v>
      </c>
      <c r="AH344" s="152"/>
      <c r="AI344" s="150">
        <f>AI346+AI362</f>
        <v>2679</v>
      </c>
      <c r="AJ344" s="150">
        <f>AJ346+AJ362</f>
        <v>3000.4800000000005</v>
      </c>
      <c r="AK344" s="152"/>
      <c r="AL344" s="150">
        <f>AL346+AL362</f>
        <v>0</v>
      </c>
      <c r="AM344" s="150">
        <f>AM346+AM362</f>
        <v>0</v>
      </c>
      <c r="AN344" s="152"/>
      <c r="AO344" s="150">
        <f>AO346+AO362</f>
        <v>-2679</v>
      </c>
      <c r="AP344" s="150">
        <f>AP346+AP362</f>
        <v>-3000.4800000000005</v>
      </c>
      <c r="AQ344" s="150"/>
      <c r="AR344" s="149">
        <f>IF(AI344=0,"",AL344/AI344)</f>
        <v>0</v>
      </c>
      <c r="AS344" s="151">
        <f>AS346+AS362</f>
        <v>0</v>
      </c>
      <c r="AT344" s="151">
        <f>AT346+AT362</f>
        <v>0</v>
      </c>
      <c r="AU344" s="151">
        <f>AU346+AU362</f>
        <v>0</v>
      </c>
      <c r="AV344" s="150">
        <f>AV346+AV362</f>
        <v>187225840.4285714</v>
      </c>
      <c r="AW344" s="150">
        <f>AW346+AW362</f>
        <v>209692940.79999998</v>
      </c>
      <c r="AX344" s="150">
        <f>AX346+AX362</f>
        <v>0</v>
      </c>
      <c r="AY344" s="150">
        <f>AY346+AY362</f>
        <v>0</v>
      </c>
      <c r="AZ344" s="150">
        <f>AZ346+AZ362</f>
        <v>0</v>
      </c>
      <c r="BA344" s="150">
        <f>BA346+BA362</f>
        <v>0</v>
      </c>
      <c r="BB344" s="150">
        <f>BB346+BB362</f>
        <v>0</v>
      </c>
      <c r="BC344" s="150">
        <f>BC346+BC362</f>
        <v>0</v>
      </c>
      <c r="BD344" s="150">
        <f>BD346+BD362</f>
        <v>0</v>
      </c>
      <c r="BE344" s="150">
        <f>BE346+BE362</f>
        <v>0</v>
      </c>
      <c r="BF344" s="150">
        <f>BF346+BF362</f>
        <v>0</v>
      </c>
      <c r="BG344" s="150">
        <f>BG346+BG362</f>
        <v>0</v>
      </c>
      <c r="BH344" s="150">
        <f>BH346+BH362</f>
        <v>0</v>
      </c>
      <c r="BI344" s="150">
        <f>BI346+BI362</f>
        <v>0</v>
      </c>
      <c r="BJ344" s="150">
        <f>BJ346+BJ362</f>
        <v>0</v>
      </c>
      <c r="BK344" s="150">
        <f>BK346+BK362</f>
        <v>0</v>
      </c>
      <c r="BL344" s="150">
        <f>BL346+BL362</f>
        <v>0</v>
      </c>
      <c r="BM344" s="149"/>
      <c r="BN344" s="149">
        <f>BN346</f>
        <v>0</v>
      </c>
      <c r="BO344" s="150">
        <f>BO346+BO362</f>
        <v>0</v>
      </c>
      <c r="BP344" s="150">
        <f>BP346+BP362</f>
        <v>0</v>
      </c>
      <c r="BQ344" s="150">
        <f>BQ346+BQ362</f>
        <v>0</v>
      </c>
      <c r="BR344" s="149"/>
      <c r="BS344" s="149"/>
      <c r="BT344" s="148"/>
      <c r="BW344" s="147"/>
      <c r="BX344" s="146"/>
    </row>
    <row r="345" spans="1:76" s="57" customFormat="1" ht="27.75" customHeight="1" x14ac:dyDescent="0.25">
      <c r="A345" s="99">
        <v>1</v>
      </c>
      <c r="B345" s="98" t="s">
        <v>25</v>
      </c>
      <c r="C345" s="97" t="s">
        <v>9</v>
      </c>
      <c r="D345" s="97" t="s">
        <v>8</v>
      </c>
      <c r="E345" s="90">
        <f>E347</f>
        <v>201874</v>
      </c>
      <c r="F345" s="90">
        <f>F347</f>
        <v>226098.88000000003</v>
      </c>
      <c r="G345" s="96"/>
      <c r="H345" s="90">
        <f>H347</f>
        <v>0</v>
      </c>
      <c r="I345" s="144">
        <f>I347</f>
        <v>65089</v>
      </c>
      <c r="J345" s="144">
        <f>J347</f>
        <v>72899.680000000008</v>
      </c>
      <c r="K345" s="92"/>
      <c r="L345" s="95"/>
      <c r="M345" s="94"/>
      <c r="N345" s="93">
        <f>N347</f>
        <v>201874857.14285713</v>
      </c>
      <c r="O345" s="93">
        <f>O347</f>
        <v>226099840</v>
      </c>
      <c r="P345" s="93">
        <f>P347</f>
        <v>201874857.14285713</v>
      </c>
      <c r="Q345" s="93">
        <f>Q347</f>
        <v>226099840</v>
      </c>
      <c r="R345" s="92">
        <f>R347</f>
        <v>0</v>
      </c>
      <c r="S345" s="90"/>
      <c r="T345" s="144">
        <f>T347</f>
        <v>0</v>
      </c>
      <c r="U345" s="144">
        <f>U347</f>
        <v>0</v>
      </c>
      <c r="V345" s="144"/>
      <c r="W345" s="144">
        <f>W347</f>
        <v>0</v>
      </c>
      <c r="X345" s="144">
        <f>X347</f>
        <v>0</v>
      </c>
      <c r="Y345" s="144"/>
      <c r="Z345" s="144">
        <f>Z347</f>
        <v>17143</v>
      </c>
      <c r="AA345" s="144">
        <f>AA347</f>
        <v>19200.160000000003</v>
      </c>
      <c r="AB345" s="144"/>
      <c r="AC345" s="144">
        <f>AC347</f>
        <v>119642</v>
      </c>
      <c r="AD345" s="144">
        <f>AD347</f>
        <v>133999.04000000001</v>
      </c>
      <c r="AE345" s="144"/>
      <c r="AF345" s="144">
        <f>AF347</f>
        <v>136785</v>
      </c>
      <c r="AG345" s="144">
        <f>AG347</f>
        <v>153199.20000000001</v>
      </c>
      <c r="AH345" s="144"/>
      <c r="AI345" s="144">
        <f>AI347</f>
        <v>65089</v>
      </c>
      <c r="AJ345" s="144">
        <f>AJ347</f>
        <v>72899.680000000008</v>
      </c>
      <c r="AK345" s="144"/>
      <c r="AL345" s="144">
        <f>AL347</f>
        <v>0</v>
      </c>
      <c r="AM345" s="90">
        <f>AM347</f>
        <v>0</v>
      </c>
      <c r="AN345" s="144"/>
      <c r="AO345" s="90">
        <f>AO347</f>
        <v>-65089</v>
      </c>
      <c r="AP345" s="90">
        <f>AP347</f>
        <v>-72899.680000000008</v>
      </c>
      <c r="AQ345" s="90"/>
      <c r="AR345" s="80">
        <f>IF(AI345=0,"",AL345/AI345)</f>
        <v>0</v>
      </c>
      <c r="AS345" s="91">
        <f>AS347</f>
        <v>0</v>
      </c>
      <c r="AT345" s="91">
        <f>AT347</f>
        <v>0</v>
      </c>
      <c r="AU345" s="91">
        <f>AU347</f>
        <v>0</v>
      </c>
      <c r="AV345" s="90">
        <f>AV347</f>
        <v>132189107.57142855</v>
      </c>
      <c r="AW345" s="90">
        <f>AW347</f>
        <v>148051800.48000002</v>
      </c>
      <c r="AX345" s="90">
        <f>AX347</f>
        <v>0</v>
      </c>
      <c r="AY345" s="90">
        <f>AY347</f>
        <v>0</v>
      </c>
      <c r="AZ345" s="90">
        <f>AZ347</f>
        <v>0</v>
      </c>
      <c r="BA345" s="90">
        <f>BA347</f>
        <v>0</v>
      </c>
      <c r="BB345" s="90">
        <f>BB347</f>
        <v>0</v>
      </c>
      <c r="BC345" s="90">
        <f>BC347</f>
        <v>0</v>
      </c>
      <c r="BD345" s="90">
        <f>BD347</f>
        <v>0</v>
      </c>
      <c r="BE345" s="90">
        <f>BE347</f>
        <v>0</v>
      </c>
      <c r="BF345" s="90">
        <f>BF347</f>
        <v>0</v>
      </c>
      <c r="BG345" s="90">
        <f>BG347</f>
        <v>0</v>
      </c>
      <c r="BH345" s="90">
        <f>BH347</f>
        <v>0</v>
      </c>
      <c r="BI345" s="90">
        <f>BI347</f>
        <v>0</v>
      </c>
      <c r="BJ345" s="90">
        <f>BJ347</f>
        <v>0</v>
      </c>
      <c r="BK345" s="90">
        <f>BK347</f>
        <v>0</v>
      </c>
      <c r="BL345" s="90">
        <f>BL347</f>
        <v>-65089</v>
      </c>
      <c r="BM345" s="80"/>
      <c r="BN345" s="80">
        <f>BN347</f>
        <v>0</v>
      </c>
      <c r="BO345" s="90">
        <f>BO347</f>
        <v>0</v>
      </c>
      <c r="BP345" s="90">
        <f>BP347</f>
        <v>0</v>
      </c>
      <c r="BQ345" s="90">
        <f>BQ347</f>
        <v>0</v>
      </c>
      <c r="BR345" s="80"/>
      <c r="BS345" s="80"/>
      <c r="BT345" s="89"/>
      <c r="BW345" s="59"/>
      <c r="BX345" s="58"/>
    </row>
    <row r="346" spans="1:76" s="57" customFormat="1" ht="27.75" customHeight="1" x14ac:dyDescent="0.25">
      <c r="A346" s="99"/>
      <c r="B346" s="98"/>
      <c r="C346" s="97" t="s">
        <v>6</v>
      </c>
      <c r="D346" s="97" t="s">
        <v>5</v>
      </c>
      <c r="E346" s="90">
        <f>E348</f>
        <v>187410</v>
      </c>
      <c r="F346" s="90">
        <f>F348</f>
        <v>209899.2</v>
      </c>
      <c r="G346" s="96"/>
      <c r="H346" s="90">
        <f>H348</f>
        <v>0</v>
      </c>
      <c r="I346" s="144">
        <f>I348</f>
        <v>2679</v>
      </c>
      <c r="J346" s="144">
        <f>J348</f>
        <v>3000.4800000000005</v>
      </c>
      <c r="K346" s="92"/>
      <c r="L346" s="95"/>
      <c r="M346" s="94"/>
      <c r="N346" s="93">
        <f>N348</f>
        <v>201874857.14285713</v>
      </c>
      <c r="O346" s="93">
        <f>O348</f>
        <v>226099840</v>
      </c>
      <c r="P346" s="93">
        <f>P348</f>
        <v>201874857.14285713</v>
      </c>
      <c r="Q346" s="93">
        <f>Q348</f>
        <v>226099840</v>
      </c>
      <c r="R346" s="92">
        <f>R348</f>
        <v>0</v>
      </c>
      <c r="S346" s="90"/>
      <c r="T346" s="144">
        <f>T348</f>
        <v>0</v>
      </c>
      <c r="U346" s="144">
        <f>U348</f>
        <v>0</v>
      </c>
      <c r="V346" s="144"/>
      <c r="W346" s="144">
        <f>W348</f>
        <v>0</v>
      </c>
      <c r="X346" s="144">
        <f>X348</f>
        <v>0</v>
      </c>
      <c r="Y346" s="144"/>
      <c r="Z346" s="144">
        <f>Z348</f>
        <v>0</v>
      </c>
      <c r="AA346" s="144">
        <f>AA348</f>
        <v>0</v>
      </c>
      <c r="AB346" s="144"/>
      <c r="AC346" s="144">
        <f>AC348</f>
        <v>184731</v>
      </c>
      <c r="AD346" s="144">
        <f>AD348</f>
        <v>206898.72</v>
      </c>
      <c r="AE346" s="144"/>
      <c r="AF346" s="144">
        <f>AF348</f>
        <v>184731</v>
      </c>
      <c r="AG346" s="144">
        <f>AG348</f>
        <v>206898.72</v>
      </c>
      <c r="AH346" s="144"/>
      <c r="AI346" s="144">
        <f>AI348</f>
        <v>2679</v>
      </c>
      <c r="AJ346" s="144">
        <f>AJ348</f>
        <v>3000.4800000000005</v>
      </c>
      <c r="AK346" s="144"/>
      <c r="AL346" s="144">
        <f>AL348</f>
        <v>0</v>
      </c>
      <c r="AM346" s="90">
        <f>AM348</f>
        <v>0</v>
      </c>
      <c r="AN346" s="144"/>
      <c r="AO346" s="90">
        <f>AO348</f>
        <v>-2679</v>
      </c>
      <c r="AP346" s="90">
        <f>AP348</f>
        <v>-3000.4800000000005</v>
      </c>
      <c r="AQ346" s="90"/>
      <c r="AR346" s="80">
        <f>IF(AI346=0,"",AL346/AI346)</f>
        <v>0</v>
      </c>
      <c r="AS346" s="91">
        <f>AS348</f>
        <v>0</v>
      </c>
      <c r="AT346" s="91">
        <f>AT348</f>
        <v>0</v>
      </c>
      <c r="AU346" s="91">
        <f>AU348</f>
        <v>0</v>
      </c>
      <c r="AV346" s="90">
        <f>AV348</f>
        <v>187225840.4285714</v>
      </c>
      <c r="AW346" s="90">
        <f>AW348</f>
        <v>209692940.79999998</v>
      </c>
      <c r="AX346" s="90">
        <f>AX348</f>
        <v>0</v>
      </c>
      <c r="AY346" s="90">
        <f>AY348</f>
        <v>0</v>
      </c>
      <c r="AZ346" s="90">
        <f>AZ348</f>
        <v>0</v>
      </c>
      <c r="BA346" s="90">
        <f>BA348</f>
        <v>0</v>
      </c>
      <c r="BB346" s="90">
        <f>BB348</f>
        <v>0</v>
      </c>
      <c r="BC346" s="90">
        <f>BC348</f>
        <v>0</v>
      </c>
      <c r="BD346" s="90">
        <f>BD348</f>
        <v>0</v>
      </c>
      <c r="BE346" s="90">
        <f>BE348</f>
        <v>0</v>
      </c>
      <c r="BF346" s="90">
        <f>BF348</f>
        <v>0</v>
      </c>
      <c r="BG346" s="90">
        <f>BG348</f>
        <v>0</v>
      </c>
      <c r="BH346" s="90">
        <f>BH348</f>
        <v>0</v>
      </c>
      <c r="BI346" s="90">
        <f>BI348</f>
        <v>0</v>
      </c>
      <c r="BJ346" s="90">
        <f>BJ348</f>
        <v>0</v>
      </c>
      <c r="BK346" s="90">
        <f>BK348</f>
        <v>0</v>
      </c>
      <c r="BL346" s="90">
        <f>BL348</f>
        <v>0</v>
      </c>
      <c r="BM346" s="80"/>
      <c r="BN346" s="80">
        <f>BN348</f>
        <v>0</v>
      </c>
      <c r="BO346" s="90">
        <f>BO348</f>
        <v>0</v>
      </c>
      <c r="BP346" s="90">
        <f>BP348</f>
        <v>0</v>
      </c>
      <c r="BQ346" s="90">
        <f>BQ348</f>
        <v>0</v>
      </c>
      <c r="BR346" s="80"/>
      <c r="BS346" s="80"/>
      <c r="BT346" s="89"/>
      <c r="BW346" s="59"/>
      <c r="BX346" s="58"/>
    </row>
    <row r="347" spans="1:76" s="57" customFormat="1" ht="30" hidden="1" customHeight="1" outlineLevel="1" x14ac:dyDescent="0.25">
      <c r="A347" s="114"/>
      <c r="B347" s="113" t="s">
        <v>24</v>
      </c>
      <c r="C347" s="70" t="s">
        <v>9</v>
      </c>
      <c r="D347" s="70" t="s">
        <v>8</v>
      </c>
      <c r="E347" s="64">
        <f>E349+E351+E353+E355+E357+E359</f>
        <v>201874</v>
      </c>
      <c r="F347" s="64">
        <f>F349+F351+F353+F355+F357+F359</f>
        <v>226098.88000000003</v>
      </c>
      <c r="G347" s="130">
        <v>1618</v>
      </c>
      <c r="H347" s="129"/>
      <c r="I347" s="64">
        <f>I349+I351+I353+I355+I357+I359</f>
        <v>65089</v>
      </c>
      <c r="J347" s="64">
        <f>J349+J351+J353+J355+J357+J359</f>
        <v>72899.680000000008</v>
      </c>
      <c r="K347" s="143"/>
      <c r="L347" s="142"/>
      <c r="M347" s="141"/>
      <c r="N347" s="119">
        <f>N349+N351+N353+N355+N357+N359</f>
        <v>201874857.14285713</v>
      </c>
      <c r="O347" s="119">
        <f>O349+O351+O353+O355+O357+O359</f>
        <v>226099840</v>
      </c>
      <c r="P347" s="119">
        <f>P349+P351+P353+P355+P357+P359</f>
        <v>201874857.14285713</v>
      </c>
      <c r="Q347" s="119">
        <f>Q349+Q351+Q353+Q355+Q357+Q359</f>
        <v>226099840</v>
      </c>
      <c r="R347" s="140"/>
      <c r="S347" s="64">
        <f>S349+S351+S353+S355+S357+S359</f>
        <v>5</v>
      </c>
      <c r="T347" s="117"/>
      <c r="U347" s="117"/>
      <c r="V347" s="117"/>
      <c r="W347" s="117"/>
      <c r="X347" s="117"/>
      <c r="Y347" s="117"/>
      <c r="Z347" s="117">
        <f>Z349+Z351+Z353+Z355+Z357+Z359</f>
        <v>17143</v>
      </c>
      <c r="AA347" s="117">
        <f>AA349+AA351+AA353+AA355+AA357+AA359</f>
        <v>19200.160000000003</v>
      </c>
      <c r="AB347" s="117">
        <f>AB349+AB351+AB353+AB355+AB357+AB359</f>
        <v>0</v>
      </c>
      <c r="AC347" s="117">
        <f>AC349+AC351+AC353+AC355+AC357+AC359</f>
        <v>119642</v>
      </c>
      <c r="AD347" s="117">
        <f>AD349+AD351+AD353+AD355+AD357+AD359</f>
        <v>133999.04000000001</v>
      </c>
      <c r="AE347" s="117">
        <f>AE349+AE351+AE353+AE355+AE357+AE359</f>
        <v>0</v>
      </c>
      <c r="AF347" s="117">
        <f>AF349+AF351+AF353+AF355+AF357+AF359</f>
        <v>136785</v>
      </c>
      <c r="AG347" s="117">
        <f>AG349+AG351+AG353+AG355+AG357+AG359</f>
        <v>153199.20000000001</v>
      </c>
      <c r="AH347" s="117">
        <f>AH349+AH351+AH353+AH355+AH357+AH359</f>
        <v>0</v>
      </c>
      <c r="AI347" s="117">
        <f>AI349+AI351+AI353+AI355+AI357+AI359</f>
        <v>65089</v>
      </c>
      <c r="AJ347" s="117">
        <f>AJ349+AJ351+AJ353+AJ355+AJ357+AJ359</f>
        <v>72899.680000000008</v>
      </c>
      <c r="AK347" s="117">
        <f>AK349+AK351+AK353+AK355+AK357+AK359</f>
        <v>0</v>
      </c>
      <c r="AL347" s="117">
        <f>AL349+AL351+AL353+AL355+AL357+AL359</f>
        <v>0</v>
      </c>
      <c r="AM347" s="64">
        <f>AM349+AM351+AM353+AM355+AM357+AM359</f>
        <v>0</v>
      </c>
      <c r="AN347" s="116">
        <f>AN349+AN351+AN353+AN355+AN357+AN359</f>
        <v>0</v>
      </c>
      <c r="AO347" s="64">
        <f>AO349+AO351+AO353+AO355+AO357+AO359</f>
        <v>-65089</v>
      </c>
      <c r="AP347" s="64">
        <f>AP349+AP351+AP353+AP355+AP357+AP359</f>
        <v>-72899.680000000008</v>
      </c>
      <c r="AQ347" s="64">
        <f>AQ349+AQ351+AQ353+AQ355+AQ357+AQ359</f>
        <v>0</v>
      </c>
      <c r="AR347" s="138">
        <f>IF(AI347=0,"",AL347/AI347)</f>
        <v>0</v>
      </c>
      <c r="AS347" s="115">
        <f>AS349+AS351+AS353+AS355+AS357+AS359</f>
        <v>0</v>
      </c>
      <c r="AT347" s="115">
        <f>AT349+AT351+AT353+AT355+AT357+AT359</f>
        <v>0</v>
      </c>
      <c r="AU347" s="115">
        <f>AU349+AU351+AU353+AU355+AU357+AU359</f>
        <v>0</v>
      </c>
      <c r="AV347" s="139">
        <f>AV349+AV351+AV353+AV355+AV357+AV359</f>
        <v>132189107.57142855</v>
      </c>
      <c r="AW347" s="139">
        <f>AW349+AW351+AW353+AW355+AW357+AW359</f>
        <v>148051800.48000002</v>
      </c>
      <c r="AX347" s="64">
        <f>AX349+AX351+AX353+AX355+AX357+AX359</f>
        <v>0</v>
      </c>
      <c r="AY347" s="64">
        <f>AY349+AY351+AY353+AY355+AY357+AY359</f>
        <v>0</v>
      </c>
      <c r="AZ347" s="64">
        <f>AZ349+AZ351+AZ353+AZ355+AZ357+AZ359</f>
        <v>0</v>
      </c>
      <c r="BA347" s="64">
        <f>BA349+BA351+BA353+BA355+BA357+BA359</f>
        <v>0</v>
      </c>
      <c r="BB347" s="64">
        <f>BB349+BB351+BB353+BB355+BB357+BB359</f>
        <v>0</v>
      </c>
      <c r="BC347" s="64">
        <f>BC349+BC351+BC353+BC355+BC357+BC359</f>
        <v>0</v>
      </c>
      <c r="BD347" s="64">
        <f>BD349+BD351+BD353+BD355+BD357+BD359</f>
        <v>0</v>
      </c>
      <c r="BE347" s="64">
        <f>BE349+BE351+BE353+BE355+BE357+BE359</f>
        <v>0</v>
      </c>
      <c r="BF347" s="64">
        <f>BF349+BF351+BF353+BF355+BF357+BF359</f>
        <v>0</v>
      </c>
      <c r="BG347" s="64">
        <f>BG349+BG351+BG353+BG355+BG357+BG359</f>
        <v>0</v>
      </c>
      <c r="BH347" s="64">
        <f>BH349+BH351+BH353+BH355+BH357+BH359</f>
        <v>0</v>
      </c>
      <c r="BI347" s="64">
        <f>BI349+BI351+BI353+BI355+BI357+BI359</f>
        <v>0</v>
      </c>
      <c r="BJ347" s="64">
        <f>BJ349+BJ351+BJ353+BJ355+BJ357+BJ359</f>
        <v>0</v>
      </c>
      <c r="BK347" s="64">
        <f>BK349+BK351+BK353+BK355+BK357+BK359</f>
        <v>0</v>
      </c>
      <c r="BL347" s="64">
        <f>AO347</f>
        <v>-65089</v>
      </c>
      <c r="BM347" s="138" t="s">
        <v>23</v>
      </c>
      <c r="BN347" s="138">
        <f>BN349+BN351+BN353+BN355+BN357+BN359</f>
        <v>0</v>
      </c>
      <c r="BO347" s="138">
        <f>BO349+BO351+BO353+BO355+BO357+BO359</f>
        <v>0</v>
      </c>
      <c r="BP347" s="138">
        <f>BP349+BP351+BP353+BP355+BP357+BP359</f>
        <v>0</v>
      </c>
      <c r="BQ347" s="138">
        <f>BQ349+BQ351+BQ353+BQ355+BQ357+BQ359</f>
        <v>0</v>
      </c>
      <c r="BR347" s="138">
        <f>BR349+BR351+BR353+BR355+BR357+BR359</f>
        <v>0</v>
      </c>
      <c r="BS347" s="138">
        <f>BS349+BS351+BS353+BS355+BS357+BS359</f>
        <v>0</v>
      </c>
      <c r="BT347" s="138">
        <f>BT349+BT351+BT353+BT355+BT357+BT359</f>
        <v>0</v>
      </c>
      <c r="BW347" s="59"/>
      <c r="BX347" s="58"/>
    </row>
    <row r="348" spans="1:76" ht="13.5" hidden="1" customHeight="1" outlineLevel="1" x14ac:dyDescent="0.25">
      <c r="A348" s="114"/>
      <c r="B348" s="113"/>
      <c r="C348" s="53" t="s">
        <v>6</v>
      </c>
      <c r="D348" s="53" t="s">
        <v>5</v>
      </c>
      <c r="E348" s="44">
        <f>E350+E352+E354+E356+E358+E360</f>
        <v>187410</v>
      </c>
      <c r="F348" s="44">
        <f>F350+F352+F354+F356+F358+F360</f>
        <v>209899.2</v>
      </c>
      <c r="G348" s="130"/>
      <c r="H348" s="137"/>
      <c r="I348" s="44">
        <f>I350+I352+I354+I356+I358+I360</f>
        <v>2679</v>
      </c>
      <c r="J348" s="44">
        <f>J350+J352+J354+J356+J358+J360</f>
        <v>3000.4800000000005</v>
      </c>
      <c r="K348" s="136"/>
      <c r="L348" s="135"/>
      <c r="M348" s="134"/>
      <c r="N348" s="106">
        <f>N350+N352+N354+N356+N358+N360</f>
        <v>201874857.14285713</v>
      </c>
      <c r="O348" s="106">
        <f>O350+O352+O354+O356+O358+O360</f>
        <v>226099840</v>
      </c>
      <c r="P348" s="106">
        <f>P350+P352+P354+P356+P358+P360</f>
        <v>201874857.14285713</v>
      </c>
      <c r="Q348" s="106">
        <f>Q350+Q352+Q354+Q356+Q358+Q360</f>
        <v>226099840</v>
      </c>
      <c r="R348" s="133"/>
      <c r="S348" s="44">
        <f>S350+S352+S354+S356+S358+S360</f>
        <v>0</v>
      </c>
      <c r="T348" s="103"/>
      <c r="U348" s="103"/>
      <c r="V348" s="103"/>
      <c r="W348" s="103"/>
      <c r="X348" s="103"/>
      <c r="Y348" s="103"/>
      <c r="Z348" s="103">
        <f>Z350+Z352+Z354+Z356+Z358+Z360</f>
        <v>0</v>
      </c>
      <c r="AA348" s="103">
        <f>AA350+AA352+AA354+AA356+AA358+AA360</f>
        <v>0</v>
      </c>
      <c r="AB348" s="103">
        <f>AB350+AB352+AB354+AB356+AB358+AB360</f>
        <v>0</v>
      </c>
      <c r="AC348" s="103">
        <f>AC350+AC352+AC354+AC356+AC358+AC360</f>
        <v>184731</v>
      </c>
      <c r="AD348" s="103">
        <f>AD350+AD352+AD354+AD356+AD358+AD360</f>
        <v>206898.72</v>
      </c>
      <c r="AE348" s="103">
        <f>AE350+AE352+AE354+AE356+AE358+AE360</f>
        <v>0</v>
      </c>
      <c r="AF348" s="103">
        <f>AF350+AF352+AF354+AF356+AF358+AF360</f>
        <v>184731</v>
      </c>
      <c r="AG348" s="103">
        <f>AG350+AG352+AG354+AG356+AG358+AG360</f>
        <v>206898.72</v>
      </c>
      <c r="AH348" s="103">
        <f>AH350+AH352+AH354+AH356+AH358+AH360</f>
        <v>0</v>
      </c>
      <c r="AI348" s="103">
        <f>AI350+AI352+AI354+AI356+AI358+AI360</f>
        <v>2679</v>
      </c>
      <c r="AJ348" s="103">
        <f>AJ350+AJ352+AJ354+AJ356+AJ358+AJ360</f>
        <v>3000.4800000000005</v>
      </c>
      <c r="AK348" s="103">
        <f>AK350+AK352+AK354+AK356+AK358+AK360</f>
        <v>0</v>
      </c>
      <c r="AL348" s="103">
        <f>AL350+AL352+AL354+AL356+AL358+AL360</f>
        <v>0</v>
      </c>
      <c r="AM348" s="44">
        <f>AM350+AM352+AM354+AM356+AM358+AM360</f>
        <v>0</v>
      </c>
      <c r="AN348" s="103">
        <f>AN350+AN352+AN354+AN356+AN358+AN360</f>
        <v>0</v>
      </c>
      <c r="AO348" s="44">
        <f>AO350+AO352+AO354+AO356+AO358+AO360</f>
        <v>-2679</v>
      </c>
      <c r="AP348" s="44">
        <f>AP350+AP352+AP354+AP356+AP358+AP360</f>
        <v>-3000.4800000000005</v>
      </c>
      <c r="AQ348" s="44">
        <f>AQ350+AQ352+AQ354+AQ356+AQ358+AQ360</f>
        <v>0</v>
      </c>
      <c r="AR348" s="131">
        <f>IF(AI348=0,"",AL348/AI348)</f>
        <v>0</v>
      </c>
      <c r="AS348" s="101">
        <f>AS350+AS352+AS354+AS356+AS358+AS360</f>
        <v>0</v>
      </c>
      <c r="AT348" s="101">
        <f>AT350+AT352+AT354+AT356+AT358+AT360</f>
        <v>0</v>
      </c>
      <c r="AU348" s="101">
        <f>AU350+AU352+AU354+AU356+AU358+AU360</f>
        <v>0</v>
      </c>
      <c r="AV348" s="132">
        <f>AV350+AV352+AV354+AV356+AV358+AV360</f>
        <v>187225840.4285714</v>
      </c>
      <c r="AW348" s="132">
        <f>AW350+AW352+AW354+AW356+AW358+AW360</f>
        <v>209692940.79999998</v>
      </c>
      <c r="AX348" s="44">
        <f>AX350+AX352+AX354+AX356+AX358+AX360</f>
        <v>0</v>
      </c>
      <c r="AY348" s="44">
        <f>AY350+AY352+AY354+AY356+AY358+AY360</f>
        <v>0</v>
      </c>
      <c r="AZ348" s="44">
        <f>AZ350+AZ352+AZ354+AZ356+AZ358+AZ360</f>
        <v>0</v>
      </c>
      <c r="BA348" s="44">
        <f>BA350+BA352+BA354+BA356+BA358+BA360</f>
        <v>0</v>
      </c>
      <c r="BB348" s="44">
        <f>BB350+BB352+BB354+BB356+BB358+BB360</f>
        <v>0</v>
      </c>
      <c r="BC348" s="44">
        <f>BC350+BC352+BC354+BC356+BC358+BC360</f>
        <v>0</v>
      </c>
      <c r="BD348" s="44">
        <f>BD350+BD352+BD354+BD356+BD358+BD360</f>
        <v>0</v>
      </c>
      <c r="BE348" s="44">
        <f>BE350+BE352+BE354+BE356+BE358+BE360</f>
        <v>0</v>
      </c>
      <c r="BF348" s="44">
        <f>BF350+BF352+BF354+BF356+BF358+BF360</f>
        <v>0</v>
      </c>
      <c r="BG348" s="44">
        <f>BG350+BG352+BG354+BG356+BG358+BG360</f>
        <v>0</v>
      </c>
      <c r="BH348" s="44">
        <f>BH350+BH352+BH354+BH356+BH358+BH360</f>
        <v>0</v>
      </c>
      <c r="BI348" s="44">
        <f>BI350+BI352+BI354+BI356+BI358+BI360</f>
        <v>0</v>
      </c>
      <c r="BJ348" s="44">
        <f>BJ350+BJ352+BJ354+BJ356+BJ358+BJ360</f>
        <v>0</v>
      </c>
      <c r="BK348" s="44">
        <f>BK350+BK352+BK354+BK356+BK358+BK360</f>
        <v>0</v>
      </c>
      <c r="BL348" s="44">
        <f>BL350+BL352+BL354+BL356+BL358+BL360</f>
        <v>0</v>
      </c>
      <c r="BM348" s="131">
        <f>BM350+BM352+BM354+BM356+BM358+BM360</f>
        <v>0</v>
      </c>
      <c r="BN348" s="131">
        <f>BN350+BN352+BN354+BN356+BN358+BN360</f>
        <v>0</v>
      </c>
      <c r="BO348" s="131">
        <f>BO350+BO352+BO354+BO356+BO358+BO360</f>
        <v>0</v>
      </c>
      <c r="BP348" s="131">
        <f>BP350+BP352+BP354+BP356+BP358+BP360</f>
        <v>0</v>
      </c>
      <c r="BQ348" s="131">
        <f>BQ350+BQ352+BQ354+BQ356+BQ358+BQ360</f>
        <v>0</v>
      </c>
      <c r="BR348" s="131">
        <f>BR350+BR352+BR354+BR356+BR358+BR360</f>
        <v>0</v>
      </c>
      <c r="BS348" s="131">
        <f>BS350+BS352+BS354+BS356+BS358+BS360</f>
        <v>0</v>
      </c>
      <c r="BT348" s="131">
        <f>BT350+BT352+BT354+BT356+BT358+BT360</f>
        <v>0</v>
      </c>
      <c r="BW348" s="39"/>
      <c r="BX348" s="38"/>
    </row>
    <row r="349" spans="1:76" s="57" customFormat="1" ht="17.25" customHeight="1" collapsed="1" x14ac:dyDescent="0.25">
      <c r="A349" s="114"/>
      <c r="B349" s="113"/>
      <c r="C349" s="70" t="s">
        <v>9</v>
      </c>
      <c r="D349" s="70" t="s">
        <v>8</v>
      </c>
      <c r="E349" s="129">
        <v>201874</v>
      </c>
      <c r="F349" s="129">
        <f>E349*1.12</f>
        <v>226098.88000000003</v>
      </c>
      <c r="G349" s="130">
        <v>1618</v>
      </c>
      <c r="H349" s="129"/>
      <c r="I349" s="128">
        <v>65089</v>
      </c>
      <c r="J349" s="128">
        <f>I349*1.12</f>
        <v>72899.680000000008</v>
      </c>
      <c r="K349" s="122" t="s">
        <v>22</v>
      </c>
      <c r="L349" s="121" t="s">
        <v>21</v>
      </c>
      <c r="M349" s="120" t="s">
        <v>13</v>
      </c>
      <c r="N349" s="119">
        <f>P349</f>
        <v>2678571.4285714282</v>
      </c>
      <c r="O349" s="119">
        <f>N349*1.12</f>
        <v>3000000</v>
      </c>
      <c r="P349" s="119">
        <f>3000000/1.12</f>
        <v>2678571.4285714282</v>
      </c>
      <c r="Q349" s="119">
        <f>P349*1.12</f>
        <v>3000000</v>
      </c>
      <c r="R349" s="118" t="s">
        <v>12</v>
      </c>
      <c r="S349" s="104"/>
      <c r="T349" s="47"/>
      <c r="U349" s="47">
        <f>T349*1.12</f>
        <v>0</v>
      </c>
      <c r="V349" s="47"/>
      <c r="W349" s="47"/>
      <c r="X349" s="47">
        <f>W349*1.12</f>
        <v>0</v>
      </c>
      <c r="Y349" s="47"/>
      <c r="Z349" s="66">
        <v>2679</v>
      </c>
      <c r="AA349" s="117">
        <f>Z349*1.12</f>
        <v>3000.4800000000005</v>
      </c>
      <c r="AB349" s="66"/>
      <c r="AC349" s="66"/>
      <c r="AD349" s="117">
        <f>AC349*1.12</f>
        <v>0</v>
      </c>
      <c r="AE349" s="66"/>
      <c r="AF349" s="66">
        <f>Z349+AC349+W349+T349</f>
        <v>2679</v>
      </c>
      <c r="AG349" s="66">
        <f>AA349+AD349+X349+U349</f>
        <v>3000.4800000000005</v>
      </c>
      <c r="AH349" s="66"/>
      <c r="AI349" s="66"/>
      <c r="AJ349" s="66"/>
      <c r="AK349" s="66"/>
      <c r="AL349" s="117"/>
      <c r="AM349" s="64"/>
      <c r="AN349" s="116"/>
      <c r="AO349" s="64">
        <f>AL349-AI349</f>
        <v>0</v>
      </c>
      <c r="AP349" s="64">
        <f>AM349-AJ349</f>
        <v>0</v>
      </c>
      <c r="AQ349" s="62"/>
      <c r="AR349" s="43" t="str">
        <f>IF(AI349=0,"",AL349/AI349)</f>
        <v/>
      </c>
      <c r="AS349" s="63"/>
      <c r="AT349" s="115"/>
      <c r="AU349" s="63"/>
      <c r="AV349" s="64">
        <f>P349-AF349</f>
        <v>2675892.4285714282</v>
      </c>
      <c r="AW349" s="64">
        <f>AV349*1.12</f>
        <v>2996999.52</v>
      </c>
      <c r="AX349" s="62"/>
      <c r="AY349" s="62"/>
      <c r="AZ349" s="62"/>
      <c r="BA349" s="62"/>
      <c r="BB349" s="62"/>
      <c r="BC349" s="62"/>
      <c r="BD349" s="62"/>
      <c r="BE349" s="62"/>
      <c r="BF349" s="62"/>
      <c r="BG349" s="62"/>
      <c r="BH349" s="62"/>
      <c r="BI349" s="62"/>
      <c r="BJ349" s="62"/>
      <c r="BK349" s="62"/>
      <c r="BL349" s="62"/>
      <c r="BM349" s="61" t="s">
        <v>7</v>
      </c>
      <c r="BN349" s="59"/>
      <c r="BO349" s="59"/>
      <c r="BP349" s="59"/>
      <c r="BQ349" s="59"/>
      <c r="BR349" s="59"/>
      <c r="BS349" s="59"/>
      <c r="BT349" s="59"/>
      <c r="BW349" s="59"/>
      <c r="BX349" s="58"/>
    </row>
    <row r="350" spans="1:76" x14ac:dyDescent="0.2">
      <c r="A350" s="114"/>
      <c r="B350" s="113"/>
      <c r="C350" s="53" t="s">
        <v>6</v>
      </c>
      <c r="D350" s="53" t="s">
        <v>5</v>
      </c>
      <c r="E350" s="111">
        <v>187410</v>
      </c>
      <c r="F350" s="111">
        <f>E350*1.12</f>
        <v>209899.2</v>
      </c>
      <c r="G350" s="112"/>
      <c r="H350" s="111"/>
      <c r="I350" s="110">
        <v>2679</v>
      </c>
      <c r="J350" s="110">
        <f>I350*1.12</f>
        <v>3000.4800000000005</v>
      </c>
      <c r="K350" s="109"/>
      <c r="L350" s="108"/>
      <c r="M350" s="107"/>
      <c r="N350" s="106">
        <f>P350</f>
        <v>2678571.4285714282</v>
      </c>
      <c r="O350" s="106">
        <f>N350*1.12</f>
        <v>3000000</v>
      </c>
      <c r="P350" s="106">
        <f>P349</f>
        <v>2678571.4285714282</v>
      </c>
      <c r="Q350" s="106">
        <f>P350*1.12</f>
        <v>3000000</v>
      </c>
      <c r="R350" s="105"/>
      <c r="S350" s="104"/>
      <c r="T350" s="47"/>
      <c r="U350" s="47">
        <f>T350*1.12</f>
        <v>0</v>
      </c>
      <c r="V350" s="47"/>
      <c r="W350" s="47"/>
      <c r="X350" s="47">
        <f>W350*1.12</f>
        <v>0</v>
      </c>
      <c r="Y350" s="47"/>
      <c r="Z350" s="46"/>
      <c r="AA350" s="103">
        <f>Z350*1.12</f>
        <v>0</v>
      </c>
      <c r="AB350" s="46"/>
      <c r="AC350" s="46"/>
      <c r="AD350" s="103">
        <f>AC350*1.12</f>
        <v>0</v>
      </c>
      <c r="AE350" s="46"/>
      <c r="AF350" s="46">
        <f>Z350+AC350+W350+T350</f>
        <v>0</v>
      </c>
      <c r="AG350" s="46">
        <f>AA350+AD350+X350+U350</f>
        <v>0</v>
      </c>
      <c r="AH350" s="46"/>
      <c r="AI350" s="46">
        <v>2679</v>
      </c>
      <c r="AJ350" s="46">
        <f>AI350*1.12</f>
        <v>3000.4800000000005</v>
      </c>
      <c r="AK350" s="46"/>
      <c r="AL350" s="103"/>
      <c r="AM350" s="44">
        <f>AL350*1.12</f>
        <v>0</v>
      </c>
      <c r="AN350" s="102"/>
      <c r="AO350" s="44">
        <f>AL350-AI350</f>
        <v>-2679</v>
      </c>
      <c r="AP350" s="44">
        <f>AM350-AJ350</f>
        <v>-3000.4800000000005</v>
      </c>
      <c r="AQ350" s="41"/>
      <c r="AR350" s="43">
        <f>IF(AI350=0,"",AL350/AI350)</f>
        <v>0</v>
      </c>
      <c r="AS350" s="42"/>
      <c r="AT350" s="101"/>
      <c r="AU350" s="42"/>
      <c r="AV350" s="44">
        <f>P350-AF350</f>
        <v>2678571.4285714282</v>
      </c>
      <c r="AW350" s="44">
        <f>AV350*1.12-0.48</f>
        <v>2999999.52</v>
      </c>
      <c r="AX350" s="41"/>
      <c r="AY350" s="41"/>
      <c r="AZ350" s="41"/>
      <c r="BA350" s="41"/>
      <c r="BB350" s="41"/>
      <c r="BC350" s="41"/>
      <c r="BD350" s="41"/>
      <c r="BE350" s="41"/>
      <c r="BF350" s="41"/>
      <c r="BG350" s="41"/>
      <c r="BH350" s="41"/>
      <c r="BI350" s="41"/>
      <c r="BJ350" s="41"/>
      <c r="BK350" s="41"/>
      <c r="BL350" s="41"/>
      <c r="BM350" s="40"/>
      <c r="BN350" s="39"/>
      <c r="BO350" s="39"/>
      <c r="BP350" s="39"/>
      <c r="BQ350" s="39"/>
      <c r="BR350" s="39"/>
      <c r="BS350" s="39"/>
      <c r="BT350" s="39"/>
      <c r="BW350" s="39"/>
      <c r="BX350" s="38"/>
    </row>
    <row r="351" spans="1:76" s="57" customFormat="1" ht="15" customHeight="1" x14ac:dyDescent="0.2">
      <c r="A351" s="114"/>
      <c r="B351" s="113"/>
      <c r="C351" s="70" t="s">
        <v>9</v>
      </c>
      <c r="D351" s="70" t="s">
        <v>8</v>
      </c>
      <c r="E351" s="124"/>
      <c r="F351" s="124"/>
      <c r="G351" s="125"/>
      <c r="H351" s="124"/>
      <c r="I351" s="123"/>
      <c r="J351" s="123"/>
      <c r="K351" s="122" t="s">
        <v>20</v>
      </c>
      <c r="L351" s="121" t="s">
        <v>19</v>
      </c>
      <c r="M351" s="120" t="s">
        <v>13</v>
      </c>
      <c r="N351" s="119">
        <f>P351</f>
        <v>14464285.714285713</v>
      </c>
      <c r="O351" s="119">
        <f>N351*1.12</f>
        <v>16200000</v>
      </c>
      <c r="P351" s="119">
        <f>16200000/1.12</f>
        <v>14464285.714285713</v>
      </c>
      <c r="Q351" s="119">
        <f>P351*1.12</f>
        <v>16200000</v>
      </c>
      <c r="R351" s="118" t="s">
        <v>12</v>
      </c>
      <c r="S351" s="104"/>
      <c r="T351" s="47"/>
      <c r="U351" s="47">
        <f>T351*1.12</f>
        <v>0</v>
      </c>
      <c r="V351" s="47"/>
      <c r="W351" s="47"/>
      <c r="X351" s="47">
        <f>W351*1.12</f>
        <v>0</v>
      </c>
      <c r="Y351" s="47"/>
      <c r="Z351" s="66">
        <v>14464</v>
      </c>
      <c r="AA351" s="117">
        <f>Z351*1.12</f>
        <v>16199.680000000002</v>
      </c>
      <c r="AB351" s="66"/>
      <c r="AC351" s="66"/>
      <c r="AD351" s="117">
        <f>AC351*1.12</f>
        <v>0</v>
      </c>
      <c r="AE351" s="66"/>
      <c r="AF351" s="66">
        <f>Z351+AC351+W351+T351</f>
        <v>14464</v>
      </c>
      <c r="AG351" s="66">
        <f>AA351+AD351+X351+U351</f>
        <v>16199.680000000002</v>
      </c>
      <c r="AH351" s="66"/>
      <c r="AI351" s="66"/>
      <c r="AJ351" s="66"/>
      <c r="AK351" s="66"/>
      <c r="AL351" s="117"/>
      <c r="AM351" s="64"/>
      <c r="AN351" s="66"/>
      <c r="AO351" s="64">
        <f>AL351-AI351</f>
        <v>0</v>
      </c>
      <c r="AP351" s="64">
        <f>AM351-AJ351</f>
        <v>0</v>
      </c>
      <c r="AQ351" s="62"/>
      <c r="AR351" s="43" t="str">
        <f>IF(AI351=0,"",AL351/AI351)</f>
        <v/>
      </c>
      <c r="AS351" s="63"/>
      <c r="AT351" s="115"/>
      <c r="AU351" s="63"/>
      <c r="AV351" s="64">
        <f>P351-AF351</f>
        <v>14449821.714285713</v>
      </c>
      <c r="AW351" s="64">
        <f>AV351*1.12</f>
        <v>16183800.32</v>
      </c>
      <c r="AX351" s="62"/>
      <c r="AY351" s="62"/>
      <c r="AZ351" s="62"/>
      <c r="BA351" s="62"/>
      <c r="BB351" s="62"/>
      <c r="BC351" s="62"/>
      <c r="BD351" s="62"/>
      <c r="BE351" s="62"/>
      <c r="BF351" s="62"/>
      <c r="BG351" s="62"/>
      <c r="BH351" s="62"/>
      <c r="BI351" s="62"/>
      <c r="BJ351" s="62"/>
      <c r="BK351" s="62"/>
      <c r="BL351" s="62"/>
      <c r="BM351" s="61" t="s">
        <v>7</v>
      </c>
      <c r="BN351" s="59"/>
      <c r="BO351" s="59"/>
      <c r="BP351" s="59"/>
      <c r="BQ351" s="59"/>
      <c r="BR351" s="59"/>
      <c r="BS351" s="59"/>
      <c r="BT351" s="59"/>
      <c r="BW351" s="59"/>
      <c r="BX351" s="58"/>
    </row>
    <row r="352" spans="1:76" x14ac:dyDescent="0.2">
      <c r="A352" s="114"/>
      <c r="B352" s="113"/>
      <c r="C352" s="53" t="s">
        <v>6</v>
      </c>
      <c r="D352" s="53" t="s">
        <v>5</v>
      </c>
      <c r="E352" s="111"/>
      <c r="F352" s="111"/>
      <c r="G352" s="112"/>
      <c r="H352" s="111"/>
      <c r="I352" s="110"/>
      <c r="J352" s="110"/>
      <c r="K352" s="109"/>
      <c r="L352" s="108"/>
      <c r="M352" s="107"/>
      <c r="N352" s="106">
        <f>P352</f>
        <v>14464285.714285713</v>
      </c>
      <c r="O352" s="106">
        <f>N352*1.12</f>
        <v>16200000</v>
      </c>
      <c r="P352" s="106">
        <f>P351</f>
        <v>14464285.714285713</v>
      </c>
      <c r="Q352" s="106">
        <f>P352*1.12</f>
        <v>16200000</v>
      </c>
      <c r="R352" s="105"/>
      <c r="S352" s="104"/>
      <c r="T352" s="47"/>
      <c r="U352" s="47">
        <f>T352*1.12</f>
        <v>0</v>
      </c>
      <c r="V352" s="47"/>
      <c r="W352" s="47"/>
      <c r="X352" s="47">
        <f>W352*1.12</f>
        <v>0</v>
      </c>
      <c r="Y352" s="47"/>
      <c r="Z352" s="46"/>
      <c r="AA352" s="103">
        <f>Z352*1.12</f>
        <v>0</v>
      </c>
      <c r="AB352" s="46"/>
      <c r="AC352" s="46"/>
      <c r="AD352" s="103">
        <f>AC352*1.12</f>
        <v>0</v>
      </c>
      <c r="AE352" s="46"/>
      <c r="AF352" s="66">
        <f>Z352+AC352+W352+T352</f>
        <v>0</v>
      </c>
      <c r="AG352" s="66">
        <f>AA352+AD352+X352+U352</f>
        <v>0</v>
      </c>
      <c r="AH352" s="46"/>
      <c r="AI352" s="46"/>
      <c r="AJ352" s="46">
        <f>AI352*1.12</f>
        <v>0</v>
      </c>
      <c r="AK352" s="46"/>
      <c r="AL352" s="103"/>
      <c r="AM352" s="44">
        <f>AL352*1.12</f>
        <v>0</v>
      </c>
      <c r="AN352" s="46"/>
      <c r="AO352" s="44">
        <f>AL352-AI352</f>
        <v>0</v>
      </c>
      <c r="AP352" s="44">
        <f>AM352-AJ352</f>
        <v>0</v>
      </c>
      <c r="AQ352" s="41"/>
      <c r="AR352" s="43" t="str">
        <f>IF(AI352=0,"",AL352/AI352)</f>
        <v/>
      </c>
      <c r="AS352" s="42"/>
      <c r="AT352" s="101"/>
      <c r="AU352" s="42"/>
      <c r="AV352" s="44"/>
      <c r="AW352" s="44">
        <f>AV352*1.12</f>
        <v>0</v>
      </c>
      <c r="AX352" s="41"/>
      <c r="AY352" s="41"/>
      <c r="AZ352" s="41"/>
      <c r="BA352" s="41"/>
      <c r="BB352" s="41"/>
      <c r="BC352" s="41"/>
      <c r="BD352" s="41"/>
      <c r="BE352" s="41"/>
      <c r="BF352" s="41"/>
      <c r="BG352" s="41"/>
      <c r="BH352" s="41"/>
      <c r="BI352" s="41"/>
      <c r="BJ352" s="41"/>
      <c r="BK352" s="41"/>
      <c r="BL352" s="41"/>
      <c r="BM352" s="40"/>
      <c r="BN352" s="39"/>
      <c r="BO352" s="39"/>
      <c r="BP352" s="39"/>
      <c r="BQ352" s="39"/>
      <c r="BR352" s="39"/>
      <c r="BS352" s="39"/>
      <c r="BT352" s="39"/>
      <c r="BW352" s="39"/>
      <c r="BX352" s="38"/>
    </row>
    <row r="353" spans="1:76" s="57" customFormat="1" ht="17.25" customHeight="1" x14ac:dyDescent="0.2">
      <c r="A353" s="114"/>
      <c r="B353" s="113"/>
      <c r="C353" s="70" t="s">
        <v>9</v>
      </c>
      <c r="D353" s="70" t="s">
        <v>8</v>
      </c>
      <c r="E353" s="124"/>
      <c r="F353" s="124"/>
      <c r="G353" s="125"/>
      <c r="H353" s="124"/>
      <c r="I353" s="123"/>
      <c r="J353" s="123"/>
      <c r="K353" s="122" t="s">
        <v>15</v>
      </c>
      <c r="L353" s="121" t="s">
        <v>18</v>
      </c>
      <c r="M353" s="120" t="s">
        <v>13</v>
      </c>
      <c r="N353" s="119">
        <f>P353</f>
        <v>9732000</v>
      </c>
      <c r="O353" s="119">
        <f>N353*1.12</f>
        <v>10899840.000000002</v>
      </c>
      <c r="P353" s="119">
        <f>10899840/1.12</f>
        <v>9732000</v>
      </c>
      <c r="Q353" s="119">
        <f>P353*1.12</f>
        <v>10899840.000000002</v>
      </c>
      <c r="R353" s="118" t="s">
        <v>12</v>
      </c>
      <c r="S353" s="104">
        <v>2</v>
      </c>
      <c r="T353" s="47"/>
      <c r="U353" s="47">
        <f>T353*1.12</f>
        <v>0</v>
      </c>
      <c r="V353" s="47"/>
      <c r="W353" s="47"/>
      <c r="X353" s="47">
        <f>W353*1.12</f>
        <v>0</v>
      </c>
      <c r="Y353" s="47"/>
      <c r="Z353" s="66"/>
      <c r="AA353" s="117">
        <f>Z353*1.12</f>
        <v>0</v>
      </c>
      <c r="AB353" s="66"/>
      <c r="AC353" s="117">
        <v>4464</v>
      </c>
      <c r="AD353" s="117">
        <f>AC353*1.12</f>
        <v>4999.68</v>
      </c>
      <c r="AE353" s="66"/>
      <c r="AF353" s="46">
        <f>Z353+AC353+W353+T353</f>
        <v>4464</v>
      </c>
      <c r="AG353" s="46">
        <f>AA353+AD353+X353+U353</f>
        <v>4999.68</v>
      </c>
      <c r="AH353" s="66"/>
      <c r="AI353" s="66">
        <v>5268</v>
      </c>
      <c r="AJ353" s="66">
        <f>AI353*1.12</f>
        <v>5900.1600000000008</v>
      </c>
      <c r="AK353" s="66"/>
      <c r="AL353" s="127">
        <f>5015.136/1.12-5015.136/1.12</f>
        <v>0</v>
      </c>
      <c r="AM353" s="64">
        <f>AL353*1.12</f>
        <v>0</v>
      </c>
      <c r="AN353" s="116"/>
      <c r="AO353" s="64">
        <f>AL353-AI353</f>
        <v>-5268</v>
      </c>
      <c r="AP353" s="64">
        <f>AM353-AJ353</f>
        <v>-5900.1600000000008</v>
      </c>
      <c r="AQ353" s="62"/>
      <c r="AR353" s="43">
        <f>IF(AI353=0,"",AL353/AI353)</f>
        <v>0</v>
      </c>
      <c r="AS353" s="63"/>
      <c r="AT353" s="115"/>
      <c r="AU353" s="63"/>
      <c r="AV353" s="64"/>
      <c r="AW353" s="64">
        <f>AV353*1.12</f>
        <v>0</v>
      </c>
      <c r="AX353" s="62"/>
      <c r="AY353" s="62"/>
      <c r="AZ353" s="62"/>
      <c r="BA353" s="62"/>
      <c r="BB353" s="62"/>
      <c r="BC353" s="62"/>
      <c r="BD353" s="62"/>
      <c r="BE353" s="62"/>
      <c r="BF353" s="62"/>
      <c r="BG353" s="62"/>
      <c r="BH353" s="62"/>
      <c r="BI353" s="62"/>
      <c r="BJ353" s="62"/>
      <c r="BK353" s="62"/>
      <c r="BL353" s="62">
        <f>AO353</f>
        <v>-5268</v>
      </c>
      <c r="BM353" s="61" t="s">
        <v>7</v>
      </c>
      <c r="BN353" s="59"/>
      <c r="BO353" s="59"/>
      <c r="BP353" s="59"/>
      <c r="BQ353" s="59"/>
      <c r="BR353" s="59"/>
      <c r="BS353" s="59"/>
      <c r="BT353" s="59"/>
      <c r="BW353" s="59"/>
      <c r="BX353" s="58"/>
    </row>
    <row r="354" spans="1:76" x14ac:dyDescent="0.2">
      <c r="A354" s="114"/>
      <c r="B354" s="113"/>
      <c r="C354" s="53" t="s">
        <v>6</v>
      </c>
      <c r="D354" s="53" t="s">
        <v>5</v>
      </c>
      <c r="E354" s="111"/>
      <c r="F354" s="111"/>
      <c r="G354" s="112"/>
      <c r="H354" s="111"/>
      <c r="I354" s="110"/>
      <c r="J354" s="110"/>
      <c r="K354" s="109"/>
      <c r="L354" s="108"/>
      <c r="M354" s="107"/>
      <c r="N354" s="106">
        <f>P354</f>
        <v>9732000</v>
      </c>
      <c r="O354" s="106">
        <f>N354*1.12</f>
        <v>10899840.000000002</v>
      </c>
      <c r="P354" s="106">
        <f>P353</f>
        <v>9732000</v>
      </c>
      <c r="Q354" s="106">
        <f>P354*1.12</f>
        <v>10899840.000000002</v>
      </c>
      <c r="R354" s="105"/>
      <c r="S354" s="104"/>
      <c r="T354" s="47"/>
      <c r="U354" s="47">
        <f>T354*1.12</f>
        <v>0</v>
      </c>
      <c r="V354" s="47"/>
      <c r="W354" s="47"/>
      <c r="X354" s="47">
        <f>W354*1.12</f>
        <v>0</v>
      </c>
      <c r="Y354" s="47"/>
      <c r="Z354" s="46"/>
      <c r="AA354" s="103">
        <f>Z354*1.12</f>
        <v>0</v>
      </c>
      <c r="AB354" s="46"/>
      <c r="AC354" s="103">
        <v>9732</v>
      </c>
      <c r="AD354" s="103">
        <f>AC354*1.12</f>
        <v>10899.84</v>
      </c>
      <c r="AE354" s="46"/>
      <c r="AF354" s="66">
        <f>Z354+AC354+W354+T354</f>
        <v>9732</v>
      </c>
      <c r="AG354" s="66">
        <f>AA354+AD354+X354+U354</f>
        <v>10899.84</v>
      </c>
      <c r="AH354" s="46"/>
      <c r="AI354" s="46"/>
      <c r="AJ354" s="46"/>
      <c r="AK354" s="46"/>
      <c r="AL354" s="103"/>
      <c r="AM354" s="44">
        <f>AL354*1.12</f>
        <v>0</v>
      </c>
      <c r="AN354" s="47"/>
      <c r="AO354" s="44">
        <f>AL354-AI354</f>
        <v>0</v>
      </c>
      <c r="AP354" s="44">
        <f>AM354-AJ354</f>
        <v>0</v>
      </c>
      <c r="AQ354" s="41"/>
      <c r="AR354" s="43" t="str">
        <f>IF(AI354=0,"",AL354/AI354)</f>
        <v/>
      </c>
      <c r="AS354" s="42"/>
      <c r="AT354" s="101"/>
      <c r="AU354" s="42"/>
      <c r="AV354" s="64">
        <f>P354-AF354</f>
        <v>9722268</v>
      </c>
      <c r="AW354" s="44">
        <f>AV354*1.12</f>
        <v>10888940.16</v>
      </c>
      <c r="AX354" s="41"/>
      <c r="AY354" s="41"/>
      <c r="AZ354" s="41"/>
      <c r="BA354" s="41"/>
      <c r="BB354" s="41"/>
      <c r="BC354" s="41"/>
      <c r="BD354" s="41"/>
      <c r="BE354" s="41"/>
      <c r="BF354" s="41"/>
      <c r="BG354" s="41"/>
      <c r="BH354" s="41"/>
      <c r="BI354" s="41"/>
      <c r="BJ354" s="41"/>
      <c r="BK354" s="41"/>
      <c r="BL354" s="41"/>
      <c r="BM354" s="40"/>
      <c r="BN354" s="39"/>
      <c r="BO354" s="39"/>
      <c r="BP354" s="39"/>
      <c r="BQ354" s="39"/>
      <c r="BR354" s="39"/>
      <c r="BS354" s="39"/>
      <c r="BT354" s="39"/>
      <c r="BW354" s="39"/>
      <c r="BX354" s="38"/>
    </row>
    <row r="355" spans="1:76" s="57" customFormat="1" ht="25.5" customHeight="1" x14ac:dyDescent="0.2">
      <c r="A355" s="114"/>
      <c r="B355" s="113"/>
      <c r="C355" s="70" t="s">
        <v>9</v>
      </c>
      <c r="D355" s="70" t="s">
        <v>8</v>
      </c>
      <c r="E355" s="124"/>
      <c r="F355" s="124"/>
      <c r="G355" s="125"/>
      <c r="H355" s="124"/>
      <c r="I355" s="123"/>
      <c r="J355" s="123"/>
      <c r="K355" s="122" t="s">
        <v>15</v>
      </c>
      <c r="L355" s="121" t="s">
        <v>17</v>
      </c>
      <c r="M355" s="120" t="s">
        <v>13</v>
      </c>
      <c r="N355" s="119">
        <f>P355</f>
        <v>59821428.571428567</v>
      </c>
      <c r="O355" s="119">
        <f>N355*1.12</f>
        <v>67000000</v>
      </c>
      <c r="P355" s="119">
        <f>68000000/1.12-1000000/1.12</f>
        <v>59821428.571428567</v>
      </c>
      <c r="Q355" s="119">
        <f>P355*1.12</f>
        <v>67000000</v>
      </c>
      <c r="R355" s="118" t="s">
        <v>12</v>
      </c>
      <c r="S355" s="104">
        <v>1</v>
      </c>
      <c r="T355" s="47"/>
      <c r="U355" s="47">
        <f>T355*1.12</f>
        <v>0</v>
      </c>
      <c r="V355" s="47"/>
      <c r="W355" s="47"/>
      <c r="X355" s="47">
        <f>W355*1.12</f>
        <v>0</v>
      </c>
      <c r="Y355" s="47"/>
      <c r="Z355" s="66"/>
      <c r="AA355" s="117">
        <f>Z355*1.12</f>
        <v>0</v>
      </c>
      <c r="AB355" s="66"/>
      <c r="AC355" s="117"/>
      <c r="AD355" s="117"/>
      <c r="AE355" s="66"/>
      <c r="AF355" s="66">
        <f>Z355+AC355+W355+T355</f>
        <v>0</v>
      </c>
      <c r="AG355" s="66">
        <f>AA355+AD355+X355+U355</f>
        <v>0</v>
      </c>
      <c r="AH355" s="66"/>
      <c r="AI355" s="66">
        <v>59821</v>
      </c>
      <c r="AJ355" s="66">
        <f>AI355*1.12</f>
        <v>66999.520000000004</v>
      </c>
      <c r="AK355" s="66"/>
      <c r="AL355" s="127">
        <f>65000/1.12-65000/1.12</f>
        <v>0</v>
      </c>
      <c r="AM355" s="64">
        <f>AL355*1.12</f>
        <v>0</v>
      </c>
      <c r="AN355" s="126"/>
      <c r="AO355" s="64">
        <f>AL355-AI355</f>
        <v>-59821</v>
      </c>
      <c r="AP355" s="64">
        <f>AM355-AJ355</f>
        <v>-66999.520000000004</v>
      </c>
      <c r="AQ355" s="62"/>
      <c r="AR355" s="43">
        <f>IF(AI355=0,"",AL355/AI355)</f>
        <v>0</v>
      </c>
      <c r="AS355" s="63"/>
      <c r="AT355" s="115"/>
      <c r="AU355" s="63"/>
      <c r="AV355" s="64"/>
      <c r="AW355" s="64">
        <f>AV355*1.12</f>
        <v>0</v>
      </c>
      <c r="AX355" s="62"/>
      <c r="AY355" s="62"/>
      <c r="AZ355" s="62"/>
      <c r="BA355" s="62"/>
      <c r="BB355" s="62"/>
      <c r="BC355" s="62"/>
      <c r="BD355" s="62"/>
      <c r="BE355" s="62"/>
      <c r="BF355" s="62"/>
      <c r="BG355" s="62"/>
      <c r="BH355" s="62"/>
      <c r="BI355" s="62"/>
      <c r="BJ355" s="62"/>
      <c r="BK355" s="62"/>
      <c r="BL355" s="62">
        <f>AO355</f>
        <v>-59821</v>
      </c>
      <c r="BM355" s="61" t="s">
        <v>7</v>
      </c>
      <c r="BN355" s="59"/>
      <c r="BO355" s="59"/>
      <c r="BP355" s="59"/>
      <c r="BQ355" s="59"/>
      <c r="BR355" s="59"/>
      <c r="BS355" s="59"/>
      <c r="BT355" s="59"/>
      <c r="BW355" s="59"/>
      <c r="BX355" s="58"/>
    </row>
    <row r="356" spans="1:76" ht="25.5" customHeight="1" x14ac:dyDescent="0.2">
      <c r="A356" s="114"/>
      <c r="B356" s="113"/>
      <c r="C356" s="53" t="s">
        <v>6</v>
      </c>
      <c r="D356" s="53" t="s">
        <v>5</v>
      </c>
      <c r="E356" s="111"/>
      <c r="F356" s="111"/>
      <c r="G356" s="112"/>
      <c r="H356" s="111"/>
      <c r="I356" s="110"/>
      <c r="J356" s="110"/>
      <c r="K356" s="109"/>
      <c r="L356" s="108"/>
      <c r="M356" s="107"/>
      <c r="N356" s="106">
        <f>P356</f>
        <v>59821428.571428567</v>
      </c>
      <c r="O356" s="106">
        <f>N356*1.12</f>
        <v>67000000</v>
      </c>
      <c r="P356" s="106">
        <f>P355</f>
        <v>59821428.571428567</v>
      </c>
      <c r="Q356" s="106">
        <f>P356*1.12</f>
        <v>67000000</v>
      </c>
      <c r="R356" s="105"/>
      <c r="S356" s="104"/>
      <c r="T356" s="47"/>
      <c r="U356" s="47">
        <f>T356*1.12</f>
        <v>0</v>
      </c>
      <c r="V356" s="47"/>
      <c r="W356" s="47"/>
      <c r="X356" s="47">
        <f>W356*1.12</f>
        <v>0</v>
      </c>
      <c r="Y356" s="47"/>
      <c r="Z356" s="46"/>
      <c r="AA356" s="103">
        <f>Z356*1.12</f>
        <v>0</v>
      </c>
      <c r="AB356" s="46"/>
      <c r="AC356" s="103">
        <v>59821</v>
      </c>
      <c r="AD356" s="103">
        <f>AC356*1.12</f>
        <v>66999.520000000004</v>
      </c>
      <c r="AE356" s="46"/>
      <c r="AF356" s="46">
        <f>Z356+AC356+W356+T356</f>
        <v>59821</v>
      </c>
      <c r="AG356" s="46">
        <f>AA356+AD356+X356+U356</f>
        <v>66999.520000000004</v>
      </c>
      <c r="AH356" s="46"/>
      <c r="AI356" s="46"/>
      <c r="AJ356" s="46"/>
      <c r="AK356" s="46"/>
      <c r="AL356" s="103"/>
      <c r="AM356" s="44">
        <f>AL356*1.12</f>
        <v>0</v>
      </c>
      <c r="AN356" s="47"/>
      <c r="AO356" s="44">
        <f>AL356-AI356</f>
        <v>0</v>
      </c>
      <c r="AP356" s="44">
        <f>AM356-AJ356</f>
        <v>0</v>
      </c>
      <c r="AQ356" s="41"/>
      <c r="AR356" s="43" t="str">
        <f>IF(AI356=0,"",AL356/AI356)</f>
        <v/>
      </c>
      <c r="AS356" s="42"/>
      <c r="AT356" s="101"/>
      <c r="AU356" s="42"/>
      <c r="AV356" s="44">
        <f>P356-AF356</f>
        <v>59761607.571428567</v>
      </c>
      <c r="AW356" s="44">
        <f>AV356*1.12</f>
        <v>66933000.480000004</v>
      </c>
      <c r="AX356" s="41"/>
      <c r="AY356" s="41"/>
      <c r="AZ356" s="41"/>
      <c r="BA356" s="41"/>
      <c r="BB356" s="41"/>
      <c r="BC356" s="41"/>
      <c r="BD356" s="41"/>
      <c r="BE356" s="41"/>
      <c r="BF356" s="41"/>
      <c r="BG356" s="41"/>
      <c r="BH356" s="41"/>
      <c r="BI356" s="41"/>
      <c r="BJ356" s="41"/>
      <c r="BK356" s="41"/>
      <c r="BL356" s="41"/>
      <c r="BM356" s="40"/>
      <c r="BN356" s="39"/>
      <c r="BO356" s="39"/>
      <c r="BP356" s="39"/>
      <c r="BQ356" s="39"/>
      <c r="BR356" s="39"/>
      <c r="BS356" s="39"/>
      <c r="BT356" s="39"/>
      <c r="BW356" s="39"/>
      <c r="BX356" s="38"/>
    </row>
    <row r="357" spans="1:76" s="57" customFormat="1" ht="27.75" customHeight="1" x14ac:dyDescent="0.2">
      <c r="A357" s="114"/>
      <c r="B357" s="113"/>
      <c r="C357" s="70" t="s">
        <v>9</v>
      </c>
      <c r="D357" s="70" t="s">
        <v>8</v>
      </c>
      <c r="E357" s="124"/>
      <c r="F357" s="124"/>
      <c r="G357" s="125"/>
      <c r="H357" s="124"/>
      <c r="I357" s="123"/>
      <c r="J357" s="123"/>
      <c r="K357" s="122" t="s">
        <v>15</v>
      </c>
      <c r="L357" s="121" t="s">
        <v>16</v>
      </c>
      <c r="M357" s="120" t="s">
        <v>13</v>
      </c>
      <c r="N357" s="119">
        <f>P357</f>
        <v>59821428.571428567</v>
      </c>
      <c r="O357" s="119">
        <f>N357*1.12</f>
        <v>67000000</v>
      </c>
      <c r="P357" s="119">
        <f>67000000/1.12</f>
        <v>59821428.571428567</v>
      </c>
      <c r="Q357" s="119">
        <f>P357*1.12</f>
        <v>67000000</v>
      </c>
      <c r="R357" s="118" t="s">
        <v>12</v>
      </c>
      <c r="S357" s="104">
        <v>1</v>
      </c>
      <c r="T357" s="47"/>
      <c r="U357" s="47">
        <f>T357*1.12</f>
        <v>0</v>
      </c>
      <c r="V357" s="47"/>
      <c r="W357" s="47"/>
      <c r="X357" s="47">
        <f>W357*1.12</f>
        <v>0</v>
      </c>
      <c r="Y357" s="47"/>
      <c r="Z357" s="66"/>
      <c r="AA357" s="117">
        <f>Z357*1.12</f>
        <v>0</v>
      </c>
      <c r="AB357" s="66"/>
      <c r="AC357" s="117">
        <f>60714-893</f>
        <v>59821</v>
      </c>
      <c r="AD357" s="117">
        <f>AC357*1.12</f>
        <v>66999.520000000004</v>
      </c>
      <c r="AE357" s="66"/>
      <c r="AF357" s="66">
        <f>Z357+AC357+W357+T357</f>
        <v>59821</v>
      </c>
      <c r="AG357" s="66">
        <f>AA357+AD357+X357+U357</f>
        <v>66999.520000000004</v>
      </c>
      <c r="AH357" s="66"/>
      <c r="AI357" s="66"/>
      <c r="AJ357" s="66"/>
      <c r="AK357" s="66"/>
      <c r="AL357" s="117"/>
      <c r="AM357" s="64">
        <f>AL357*1.12</f>
        <v>0</v>
      </c>
      <c r="AN357" s="116"/>
      <c r="AO357" s="64">
        <f>AL357-AI357</f>
        <v>0</v>
      </c>
      <c r="AP357" s="64">
        <f>AM357-AJ357</f>
        <v>0</v>
      </c>
      <c r="AQ357" s="62"/>
      <c r="AR357" s="43" t="str">
        <f>IF(AI357=0,"",AL357/AI357)</f>
        <v/>
      </c>
      <c r="AS357" s="63"/>
      <c r="AT357" s="115"/>
      <c r="AU357" s="63"/>
      <c r="AV357" s="64">
        <f>P357-AF357</f>
        <v>59761607.571428567</v>
      </c>
      <c r="AW357" s="64">
        <f>AV357*1.12</f>
        <v>66933000.480000004</v>
      </c>
      <c r="AX357" s="62"/>
      <c r="AY357" s="62"/>
      <c r="AZ357" s="62"/>
      <c r="BA357" s="62"/>
      <c r="BB357" s="62"/>
      <c r="BC357" s="62"/>
      <c r="BD357" s="62"/>
      <c r="BE357" s="62"/>
      <c r="BF357" s="62"/>
      <c r="BG357" s="62"/>
      <c r="BH357" s="62"/>
      <c r="BI357" s="62"/>
      <c r="BJ357" s="62"/>
      <c r="BK357" s="62"/>
      <c r="BL357" s="62"/>
      <c r="BM357" s="61" t="s">
        <v>7</v>
      </c>
      <c r="BN357" s="59"/>
      <c r="BO357" s="59"/>
      <c r="BP357" s="59"/>
      <c r="BQ357" s="59"/>
      <c r="BR357" s="59"/>
      <c r="BS357" s="59"/>
      <c r="BT357" s="59"/>
      <c r="BW357" s="59"/>
      <c r="BX357" s="58"/>
    </row>
    <row r="358" spans="1:76" ht="27.75" customHeight="1" x14ac:dyDescent="0.2">
      <c r="A358" s="114"/>
      <c r="B358" s="113"/>
      <c r="C358" s="53" t="s">
        <v>6</v>
      </c>
      <c r="D358" s="53" t="s">
        <v>5</v>
      </c>
      <c r="E358" s="111"/>
      <c r="F358" s="111"/>
      <c r="G358" s="112"/>
      <c r="H358" s="111"/>
      <c r="I358" s="110"/>
      <c r="J358" s="110"/>
      <c r="K358" s="109"/>
      <c r="L358" s="108"/>
      <c r="M358" s="107"/>
      <c r="N358" s="106">
        <f>P358</f>
        <v>59821428.571428567</v>
      </c>
      <c r="O358" s="106">
        <f>N358*1.12</f>
        <v>67000000</v>
      </c>
      <c r="P358" s="106">
        <f>P357</f>
        <v>59821428.571428567</v>
      </c>
      <c r="Q358" s="106">
        <f>P358*1.12</f>
        <v>67000000</v>
      </c>
      <c r="R358" s="105"/>
      <c r="S358" s="104"/>
      <c r="T358" s="47"/>
      <c r="U358" s="47">
        <f>T358*1.12</f>
        <v>0</v>
      </c>
      <c r="V358" s="47"/>
      <c r="W358" s="47"/>
      <c r="X358" s="47">
        <f>W358*1.12</f>
        <v>0</v>
      </c>
      <c r="Y358" s="47"/>
      <c r="Z358" s="46"/>
      <c r="AA358" s="103">
        <f>Z358*1.12</f>
        <v>0</v>
      </c>
      <c r="AB358" s="46"/>
      <c r="AC358" s="103">
        <f>60714-893</f>
        <v>59821</v>
      </c>
      <c r="AD358" s="103">
        <f>AC358*1.12</f>
        <v>66999.520000000004</v>
      </c>
      <c r="AE358" s="46"/>
      <c r="AF358" s="46">
        <f>Z358+AC358+W358+T358</f>
        <v>59821</v>
      </c>
      <c r="AG358" s="46">
        <f>AA358+AD358+X358+U358</f>
        <v>66999.520000000004</v>
      </c>
      <c r="AH358" s="46"/>
      <c r="AI358" s="46"/>
      <c r="AJ358" s="46"/>
      <c r="AK358" s="46"/>
      <c r="AL358" s="103"/>
      <c r="AM358" s="44">
        <f>AL358*1.12</f>
        <v>0</v>
      </c>
      <c r="AN358" s="102"/>
      <c r="AO358" s="44">
        <f>AL358-AI358</f>
        <v>0</v>
      </c>
      <c r="AP358" s="44">
        <f>AM358-AJ358</f>
        <v>0</v>
      </c>
      <c r="AQ358" s="41"/>
      <c r="AR358" s="43" t="str">
        <f>IF(AI358=0,"",AL358/AI358)</f>
        <v/>
      </c>
      <c r="AS358" s="42"/>
      <c r="AT358" s="101"/>
      <c r="AU358" s="42"/>
      <c r="AV358" s="44">
        <f>P358-AF358</f>
        <v>59761607.571428567</v>
      </c>
      <c r="AW358" s="44">
        <f>AV358*1.12</f>
        <v>66933000.480000004</v>
      </c>
      <c r="AX358" s="41"/>
      <c r="AY358" s="41"/>
      <c r="AZ358" s="41"/>
      <c r="BA358" s="41"/>
      <c r="BB358" s="41"/>
      <c r="BC358" s="41"/>
      <c r="BD358" s="41"/>
      <c r="BE358" s="41"/>
      <c r="BF358" s="41"/>
      <c r="BG358" s="41"/>
      <c r="BH358" s="41"/>
      <c r="BI358" s="41"/>
      <c r="BJ358" s="41"/>
      <c r="BK358" s="41"/>
      <c r="BL358" s="41"/>
      <c r="BM358" s="40"/>
      <c r="BN358" s="39"/>
      <c r="BO358" s="39"/>
      <c r="BP358" s="39"/>
      <c r="BQ358" s="39"/>
      <c r="BR358" s="39"/>
      <c r="BS358" s="39"/>
      <c r="BT358" s="39"/>
      <c r="BW358" s="39"/>
      <c r="BX358" s="38"/>
    </row>
    <row r="359" spans="1:76" s="57" customFormat="1" ht="19.5" customHeight="1" x14ac:dyDescent="0.2">
      <c r="A359" s="114"/>
      <c r="B359" s="113"/>
      <c r="C359" s="70" t="s">
        <v>9</v>
      </c>
      <c r="D359" s="70" t="s">
        <v>8</v>
      </c>
      <c r="E359" s="124"/>
      <c r="F359" s="124"/>
      <c r="G359" s="125"/>
      <c r="H359" s="124"/>
      <c r="I359" s="123"/>
      <c r="J359" s="123"/>
      <c r="K359" s="122" t="s">
        <v>15</v>
      </c>
      <c r="L359" s="121" t="s">
        <v>14</v>
      </c>
      <c r="M359" s="120" t="s">
        <v>13</v>
      </c>
      <c r="N359" s="119">
        <f>P359</f>
        <v>55357142.857142851</v>
      </c>
      <c r="O359" s="119">
        <f>N359*1.12</f>
        <v>62000000</v>
      </c>
      <c r="P359" s="119">
        <f>62000000/1.12</f>
        <v>55357142.857142851</v>
      </c>
      <c r="Q359" s="119">
        <f>P359*1.12</f>
        <v>62000000</v>
      </c>
      <c r="R359" s="118" t="s">
        <v>12</v>
      </c>
      <c r="S359" s="104">
        <v>1</v>
      </c>
      <c r="T359" s="47"/>
      <c r="U359" s="47">
        <f>T359*1.12</f>
        <v>0</v>
      </c>
      <c r="V359" s="47"/>
      <c r="W359" s="47"/>
      <c r="X359" s="47">
        <f>W359*1.12</f>
        <v>0</v>
      </c>
      <c r="Y359" s="47"/>
      <c r="Z359" s="66"/>
      <c r="AA359" s="117">
        <f>Z359*1.12</f>
        <v>0</v>
      </c>
      <c r="AB359" s="66"/>
      <c r="AC359" s="117">
        <v>55357</v>
      </c>
      <c r="AD359" s="117">
        <f>AC359*1.12</f>
        <v>61999.840000000004</v>
      </c>
      <c r="AE359" s="66"/>
      <c r="AF359" s="66">
        <f>Z359+AC359+W359+T359</f>
        <v>55357</v>
      </c>
      <c r="AG359" s="66">
        <f>AA359+AD359+X359+U359</f>
        <v>61999.840000000004</v>
      </c>
      <c r="AH359" s="66"/>
      <c r="AI359" s="66"/>
      <c r="AJ359" s="66"/>
      <c r="AK359" s="66"/>
      <c r="AL359" s="117"/>
      <c r="AM359" s="64">
        <f>AL359*1.12</f>
        <v>0</v>
      </c>
      <c r="AN359" s="116"/>
      <c r="AO359" s="64">
        <f>AL359-AI359</f>
        <v>0</v>
      </c>
      <c r="AP359" s="64">
        <f>AM359-AJ359</f>
        <v>0</v>
      </c>
      <c r="AQ359" s="62"/>
      <c r="AR359" s="43" t="str">
        <f>IF(AI359=0,"",AL359/AI359)</f>
        <v/>
      </c>
      <c r="AS359" s="63"/>
      <c r="AT359" s="115"/>
      <c r="AU359" s="63"/>
      <c r="AV359" s="64">
        <f>P359-AF359</f>
        <v>55301785.857142851</v>
      </c>
      <c r="AW359" s="64">
        <f>AV359*1.12</f>
        <v>61938000.159999996</v>
      </c>
      <c r="AX359" s="62"/>
      <c r="AY359" s="62"/>
      <c r="AZ359" s="62"/>
      <c r="BA359" s="62"/>
      <c r="BB359" s="62"/>
      <c r="BC359" s="62"/>
      <c r="BD359" s="62"/>
      <c r="BE359" s="62"/>
      <c r="BF359" s="62"/>
      <c r="BG359" s="62"/>
      <c r="BH359" s="62"/>
      <c r="BI359" s="62"/>
      <c r="BJ359" s="62"/>
      <c r="BK359" s="62"/>
      <c r="BL359" s="62"/>
      <c r="BM359" s="61" t="s">
        <v>7</v>
      </c>
      <c r="BN359" s="59"/>
      <c r="BO359" s="59"/>
      <c r="BP359" s="59"/>
      <c r="BQ359" s="59"/>
      <c r="BR359" s="59"/>
      <c r="BS359" s="59"/>
      <c r="BT359" s="59"/>
      <c r="BW359" s="59"/>
      <c r="BX359" s="58"/>
    </row>
    <row r="360" spans="1:76" x14ac:dyDescent="0.2">
      <c r="A360" s="114"/>
      <c r="B360" s="113"/>
      <c r="C360" s="53" t="s">
        <v>6</v>
      </c>
      <c r="D360" s="53" t="s">
        <v>5</v>
      </c>
      <c r="E360" s="111"/>
      <c r="F360" s="111"/>
      <c r="G360" s="112"/>
      <c r="H360" s="111"/>
      <c r="I360" s="110"/>
      <c r="J360" s="110"/>
      <c r="K360" s="109"/>
      <c r="L360" s="108"/>
      <c r="M360" s="107"/>
      <c r="N360" s="106">
        <f>P360</f>
        <v>55357142.857142851</v>
      </c>
      <c r="O360" s="106">
        <f>N360*1.12</f>
        <v>62000000</v>
      </c>
      <c r="P360" s="106">
        <f>P359</f>
        <v>55357142.857142851</v>
      </c>
      <c r="Q360" s="106">
        <f>P360*1.12</f>
        <v>62000000</v>
      </c>
      <c r="R360" s="105"/>
      <c r="S360" s="104"/>
      <c r="T360" s="47"/>
      <c r="U360" s="47">
        <f>T360*1.12</f>
        <v>0</v>
      </c>
      <c r="V360" s="47"/>
      <c r="W360" s="47"/>
      <c r="X360" s="47">
        <f>W360*1.12</f>
        <v>0</v>
      </c>
      <c r="Y360" s="47"/>
      <c r="Z360" s="45"/>
      <c r="AA360" s="103">
        <f>Z360*1.12</f>
        <v>0</v>
      </c>
      <c r="AB360" s="45"/>
      <c r="AC360" s="103">
        <v>55357</v>
      </c>
      <c r="AD360" s="103">
        <f>AC360*1.12</f>
        <v>61999.840000000004</v>
      </c>
      <c r="AE360" s="45"/>
      <c r="AF360" s="46">
        <f>Z360+AC360+W360+T360</f>
        <v>55357</v>
      </c>
      <c r="AG360" s="46">
        <f>AA360+AD360+X360+U360</f>
        <v>61999.840000000004</v>
      </c>
      <c r="AH360" s="45"/>
      <c r="AI360" s="45"/>
      <c r="AJ360" s="45"/>
      <c r="AK360" s="45"/>
      <c r="AL360" s="103"/>
      <c r="AM360" s="44">
        <f>AL360*1.12</f>
        <v>0</v>
      </c>
      <c r="AN360" s="102"/>
      <c r="AO360" s="44">
        <f>AL360-AI360</f>
        <v>0</v>
      </c>
      <c r="AP360" s="44">
        <f>AM360-AJ360</f>
        <v>0</v>
      </c>
      <c r="AQ360" s="41"/>
      <c r="AR360" s="43" t="str">
        <f>IF(AI360=0,"",AL360/AI360)</f>
        <v/>
      </c>
      <c r="AS360" s="100"/>
      <c r="AT360" s="101"/>
      <c r="AU360" s="100"/>
      <c r="AV360" s="64">
        <f>P360-AF360</f>
        <v>55301785.857142851</v>
      </c>
      <c r="AW360" s="44">
        <f>AV360*1.12</f>
        <v>61938000.159999996</v>
      </c>
      <c r="AX360" s="48"/>
      <c r="AY360" s="48"/>
      <c r="AZ360" s="48"/>
      <c r="BA360" s="48"/>
      <c r="BB360" s="48"/>
      <c r="BC360" s="48"/>
      <c r="BD360" s="48"/>
      <c r="BE360" s="48"/>
      <c r="BF360" s="48"/>
      <c r="BG360" s="48"/>
      <c r="BH360" s="48"/>
      <c r="BI360" s="48"/>
      <c r="BJ360" s="48"/>
      <c r="BK360" s="48"/>
      <c r="BL360" s="48"/>
      <c r="BM360" s="40"/>
      <c r="BN360" s="39"/>
      <c r="BO360" s="39"/>
      <c r="BP360" s="39"/>
      <c r="BQ360" s="39"/>
      <c r="BR360" s="39"/>
      <c r="BS360" s="39"/>
      <c r="BT360" s="39"/>
      <c r="BW360" s="39"/>
      <c r="BX360" s="38"/>
    </row>
    <row r="361" spans="1:76" s="57" customFormat="1" ht="41.25" hidden="1" customHeight="1" outlineLevel="1" x14ac:dyDescent="0.25">
      <c r="A361" s="99">
        <v>2</v>
      </c>
      <c r="B361" s="98" t="s">
        <v>11</v>
      </c>
      <c r="C361" s="97" t="s">
        <v>9</v>
      </c>
      <c r="D361" s="97" t="s">
        <v>8</v>
      </c>
      <c r="E361" s="90">
        <f>E363</f>
        <v>0</v>
      </c>
      <c r="F361" s="90">
        <f>F363</f>
        <v>0</v>
      </c>
      <c r="G361" s="96"/>
      <c r="H361" s="90"/>
      <c r="I361" s="90">
        <f>I363</f>
        <v>0</v>
      </c>
      <c r="J361" s="90">
        <f>J363</f>
        <v>0</v>
      </c>
      <c r="K361" s="92"/>
      <c r="L361" s="95"/>
      <c r="M361" s="94"/>
      <c r="N361" s="93">
        <f>N363</f>
        <v>0</v>
      </c>
      <c r="O361" s="93">
        <f>O363</f>
        <v>0</v>
      </c>
      <c r="P361" s="93">
        <f>P363</f>
        <v>0</v>
      </c>
      <c r="Q361" s="93">
        <f>Q363</f>
        <v>0</v>
      </c>
      <c r="R361" s="92"/>
      <c r="S361" s="90"/>
      <c r="T361" s="90">
        <f>T363</f>
        <v>0</v>
      </c>
      <c r="U361" s="90">
        <f>U363</f>
        <v>0</v>
      </c>
      <c r="V361" s="90"/>
      <c r="W361" s="90">
        <f>W363</f>
        <v>0</v>
      </c>
      <c r="X361" s="90">
        <f>X363</f>
        <v>0</v>
      </c>
      <c r="Y361" s="90"/>
      <c r="Z361" s="90">
        <f>Z363</f>
        <v>0</v>
      </c>
      <c r="AA361" s="90">
        <f>AA363</f>
        <v>0</v>
      </c>
      <c r="AB361" s="90"/>
      <c r="AC361" s="90">
        <f>AC363</f>
        <v>0</v>
      </c>
      <c r="AD361" s="90">
        <f>AD363</f>
        <v>0</v>
      </c>
      <c r="AE361" s="90"/>
      <c r="AF361" s="90">
        <f>AF363</f>
        <v>0</v>
      </c>
      <c r="AG361" s="90">
        <f>AG363</f>
        <v>0</v>
      </c>
      <c r="AH361" s="90"/>
      <c r="AI361" s="90">
        <f>AI363</f>
        <v>0</v>
      </c>
      <c r="AJ361" s="90">
        <f>AJ363</f>
        <v>0</v>
      </c>
      <c r="AK361" s="90"/>
      <c r="AL361" s="90">
        <f>AL363</f>
        <v>0</v>
      </c>
      <c r="AM361" s="90">
        <f>AM363</f>
        <v>0</v>
      </c>
      <c r="AN361" s="90">
        <f>AN363</f>
        <v>0</v>
      </c>
      <c r="AO361" s="90">
        <f>AO363</f>
        <v>0</v>
      </c>
      <c r="AP361" s="90">
        <f>AP363</f>
        <v>0</v>
      </c>
      <c r="AQ361" s="90">
        <f>AQ363</f>
        <v>0</v>
      </c>
      <c r="AR361" s="80" t="str">
        <f>IF(AI361=0,"",AL361/AI361)</f>
        <v/>
      </c>
      <c r="AS361" s="91">
        <f>AS363</f>
        <v>0</v>
      </c>
      <c r="AT361" s="91">
        <f>AT363</f>
        <v>0</v>
      </c>
      <c r="AU361" s="91">
        <f>AU363</f>
        <v>0</v>
      </c>
      <c r="AV361" s="90">
        <f>AV363</f>
        <v>0</v>
      </c>
      <c r="AW361" s="90">
        <f>AW363</f>
        <v>0</v>
      </c>
      <c r="AX361" s="90">
        <f>AX363</f>
        <v>0</v>
      </c>
      <c r="AY361" s="90">
        <f>AY363</f>
        <v>0</v>
      </c>
      <c r="AZ361" s="90">
        <f>AZ363</f>
        <v>0</v>
      </c>
      <c r="BA361" s="90">
        <f>BA363</f>
        <v>0</v>
      </c>
      <c r="BB361" s="90">
        <f>BB363</f>
        <v>0</v>
      </c>
      <c r="BC361" s="90">
        <f>BC363</f>
        <v>0</v>
      </c>
      <c r="BD361" s="90">
        <f>BD363</f>
        <v>0</v>
      </c>
      <c r="BE361" s="90">
        <f>BE363</f>
        <v>0</v>
      </c>
      <c r="BF361" s="90">
        <f>BF363</f>
        <v>0</v>
      </c>
      <c r="BG361" s="90">
        <f>BG363</f>
        <v>0</v>
      </c>
      <c r="BH361" s="90">
        <f>BH363</f>
        <v>0</v>
      </c>
      <c r="BI361" s="90">
        <f>BI363</f>
        <v>0</v>
      </c>
      <c r="BJ361" s="90">
        <f>BJ363</f>
        <v>0</v>
      </c>
      <c r="BK361" s="90">
        <f>BK363</f>
        <v>0</v>
      </c>
      <c r="BL361" s="90">
        <f>BL363</f>
        <v>0</v>
      </c>
      <c r="BM361" s="80"/>
      <c r="BN361" s="80">
        <f>BN363</f>
        <v>0</v>
      </c>
      <c r="BO361" s="90">
        <f>BO363</f>
        <v>0</v>
      </c>
      <c r="BP361" s="90">
        <f>BP363</f>
        <v>0</v>
      </c>
      <c r="BQ361" s="90">
        <f>BQ363</f>
        <v>0</v>
      </c>
      <c r="BR361" s="80"/>
      <c r="BS361" s="80"/>
      <c r="BT361" s="89"/>
      <c r="BW361" s="59"/>
      <c r="BX361" s="58"/>
    </row>
    <row r="362" spans="1:76" s="57" customFormat="1" ht="41.25" hidden="1" customHeight="1" outlineLevel="1" x14ac:dyDescent="0.25">
      <c r="A362" s="88"/>
      <c r="B362" s="87"/>
      <c r="C362" s="86" t="s">
        <v>6</v>
      </c>
      <c r="D362" s="86" t="s">
        <v>5</v>
      </c>
      <c r="E362" s="78">
        <f>E364</f>
        <v>0</v>
      </c>
      <c r="F362" s="78">
        <f>F364</f>
        <v>0</v>
      </c>
      <c r="G362" s="85"/>
      <c r="H362" s="78"/>
      <c r="I362" s="78">
        <f>I364</f>
        <v>0</v>
      </c>
      <c r="J362" s="78">
        <f>J364</f>
        <v>0</v>
      </c>
      <c r="K362" s="81"/>
      <c r="L362" s="84"/>
      <c r="M362" s="83"/>
      <c r="N362" s="82">
        <f>N364</f>
        <v>0</v>
      </c>
      <c r="O362" s="82">
        <f>O364</f>
        <v>0</v>
      </c>
      <c r="P362" s="82">
        <f>P364</f>
        <v>0</v>
      </c>
      <c r="Q362" s="82">
        <f>Q364</f>
        <v>0</v>
      </c>
      <c r="R362" s="81"/>
      <c r="S362" s="78"/>
      <c r="T362" s="78">
        <f>T364</f>
        <v>0</v>
      </c>
      <c r="U362" s="78">
        <f>U364</f>
        <v>0</v>
      </c>
      <c r="V362" s="78"/>
      <c r="W362" s="78">
        <f>W364</f>
        <v>0</v>
      </c>
      <c r="X362" s="78">
        <f>X364</f>
        <v>0</v>
      </c>
      <c r="Y362" s="78"/>
      <c r="Z362" s="78">
        <f>Z364</f>
        <v>0</v>
      </c>
      <c r="AA362" s="78">
        <f>AA364</f>
        <v>0</v>
      </c>
      <c r="AB362" s="78"/>
      <c r="AC362" s="78">
        <f>AC364</f>
        <v>0</v>
      </c>
      <c r="AD362" s="78">
        <f>AD364</f>
        <v>0</v>
      </c>
      <c r="AE362" s="78"/>
      <c r="AF362" s="78">
        <f>AF364</f>
        <v>0</v>
      </c>
      <c r="AG362" s="78">
        <f>AG364</f>
        <v>0</v>
      </c>
      <c r="AH362" s="78"/>
      <c r="AI362" s="78">
        <f>AI364</f>
        <v>0</v>
      </c>
      <c r="AJ362" s="78">
        <f>AJ364</f>
        <v>0</v>
      </c>
      <c r="AK362" s="78"/>
      <c r="AL362" s="78">
        <f>AL364</f>
        <v>0</v>
      </c>
      <c r="AM362" s="78">
        <f>AM364</f>
        <v>0</v>
      </c>
      <c r="AN362" s="78">
        <f>AN364</f>
        <v>0</v>
      </c>
      <c r="AO362" s="78">
        <f>AO364</f>
        <v>0</v>
      </c>
      <c r="AP362" s="78">
        <f>AP364</f>
        <v>0</v>
      </c>
      <c r="AQ362" s="78">
        <f>AQ364</f>
        <v>0</v>
      </c>
      <c r="AR362" s="80" t="str">
        <f>IF(AI362=0,"",AL362/AI362)</f>
        <v/>
      </c>
      <c r="AS362" s="79">
        <f>AS364</f>
        <v>0</v>
      </c>
      <c r="AT362" s="79">
        <f>AT364</f>
        <v>0</v>
      </c>
      <c r="AU362" s="79">
        <f>AU364</f>
        <v>0</v>
      </c>
      <c r="AV362" s="78">
        <f>AV364</f>
        <v>0</v>
      </c>
      <c r="AW362" s="78">
        <f>AW364</f>
        <v>0</v>
      </c>
      <c r="AX362" s="78">
        <f>AX364</f>
        <v>0</v>
      </c>
      <c r="AY362" s="78">
        <f>AY364</f>
        <v>0</v>
      </c>
      <c r="AZ362" s="78">
        <f>AZ364</f>
        <v>0</v>
      </c>
      <c r="BA362" s="78">
        <f>BA364</f>
        <v>0</v>
      </c>
      <c r="BB362" s="78">
        <f>BB364</f>
        <v>0</v>
      </c>
      <c r="BC362" s="78">
        <f>BC364</f>
        <v>0</v>
      </c>
      <c r="BD362" s="78">
        <f>BD364</f>
        <v>0</v>
      </c>
      <c r="BE362" s="78">
        <f>BE364</f>
        <v>0</v>
      </c>
      <c r="BF362" s="78">
        <f>BF364</f>
        <v>0</v>
      </c>
      <c r="BG362" s="78">
        <f>BG364</f>
        <v>0</v>
      </c>
      <c r="BH362" s="78">
        <f>BH364</f>
        <v>0</v>
      </c>
      <c r="BI362" s="78">
        <f>BI364</f>
        <v>0</v>
      </c>
      <c r="BJ362" s="78">
        <f>BJ364</f>
        <v>0</v>
      </c>
      <c r="BK362" s="78">
        <f>BK364</f>
        <v>0</v>
      </c>
      <c r="BL362" s="78">
        <f>BL364</f>
        <v>0</v>
      </c>
      <c r="BM362" s="77"/>
      <c r="BN362" s="77">
        <f>BN364</f>
        <v>0</v>
      </c>
      <c r="BO362" s="78">
        <f>BO364</f>
        <v>0</v>
      </c>
      <c r="BP362" s="78">
        <f>BP364</f>
        <v>0</v>
      </c>
      <c r="BQ362" s="78">
        <f>BQ364</f>
        <v>0</v>
      </c>
      <c r="BR362" s="77"/>
      <c r="BS362" s="77"/>
      <c r="BT362" s="76"/>
      <c r="BW362" s="75"/>
      <c r="BX362" s="74"/>
    </row>
    <row r="363" spans="1:76" s="57" customFormat="1" ht="21" hidden="1" customHeight="1" outlineLevel="1" x14ac:dyDescent="0.25">
      <c r="A363" s="59"/>
      <c r="B363" s="73" t="s">
        <v>10</v>
      </c>
      <c r="C363" s="70" t="s">
        <v>9</v>
      </c>
      <c r="D363" s="70" t="s">
        <v>8</v>
      </c>
      <c r="E363" s="66"/>
      <c r="F363" s="66">
        <f>E363*1.12</f>
        <v>0</v>
      </c>
      <c r="G363" s="72">
        <v>1818</v>
      </c>
      <c r="H363" s="67"/>
      <c r="I363" s="66"/>
      <c r="J363" s="66">
        <f>I363*1.12</f>
        <v>0</v>
      </c>
      <c r="K363" s="71"/>
      <c r="L363" s="70"/>
      <c r="M363" s="69"/>
      <c r="N363" s="51">
        <f>P363</f>
        <v>0</v>
      </c>
      <c r="O363" s="51">
        <f>N363*1.12</f>
        <v>0</v>
      </c>
      <c r="P363" s="51"/>
      <c r="Q363" s="51">
        <f>P363*1.12</f>
        <v>0</v>
      </c>
      <c r="R363" s="68"/>
      <c r="S363" s="67"/>
      <c r="T363" s="47"/>
      <c r="U363" s="47">
        <f>T363*1.12</f>
        <v>0</v>
      </c>
      <c r="V363" s="47"/>
      <c r="W363" s="47"/>
      <c r="X363" s="47">
        <f>W363*1.12</f>
        <v>0</v>
      </c>
      <c r="Y363" s="65"/>
      <c r="Z363" s="66"/>
      <c r="AA363" s="66">
        <f>Z363*1.12</f>
        <v>0</v>
      </c>
      <c r="AB363" s="65"/>
      <c r="AC363" s="66"/>
      <c r="AD363" s="66">
        <f>AC363*1.12</f>
        <v>0</v>
      </c>
      <c r="AE363" s="65"/>
      <c r="AF363" s="66">
        <f>Z363+AC363+W363+T363</f>
        <v>0</v>
      </c>
      <c r="AG363" s="66">
        <f>AA363+AD363+X363+U363</f>
        <v>0</v>
      </c>
      <c r="AH363" s="65"/>
      <c r="AI363" s="66"/>
      <c r="AJ363" s="66">
        <f>AI363*1.12</f>
        <v>0</v>
      </c>
      <c r="AK363" s="65"/>
      <c r="AL363" s="66"/>
      <c r="AM363" s="62">
        <f>AL363*1.12</f>
        <v>0</v>
      </c>
      <c r="AN363" s="65"/>
      <c r="AO363" s="64">
        <f>AL363-AI363</f>
        <v>0</v>
      </c>
      <c r="AP363" s="64">
        <f>AM363-AJ363</f>
        <v>0</v>
      </c>
      <c r="AQ363" s="62"/>
      <c r="AR363" s="43" t="str">
        <f>IF(AI363=0,"",AL363/AI363)</f>
        <v/>
      </c>
      <c r="AS363" s="63"/>
      <c r="AT363" s="63"/>
      <c r="AU363" s="63"/>
      <c r="AV363" s="62"/>
      <c r="AW363" s="62">
        <f>AV363*1.12</f>
        <v>0</v>
      </c>
      <c r="AX363" s="62"/>
      <c r="AY363" s="62"/>
      <c r="AZ363" s="62"/>
      <c r="BA363" s="62"/>
      <c r="BB363" s="62"/>
      <c r="BC363" s="62"/>
      <c r="BD363" s="62"/>
      <c r="BE363" s="62"/>
      <c r="BF363" s="62"/>
      <c r="BG363" s="62"/>
      <c r="BH363" s="62"/>
      <c r="BI363" s="62"/>
      <c r="BJ363" s="62"/>
      <c r="BK363" s="62"/>
      <c r="BL363" s="62">
        <f>AL363-AI363</f>
        <v>0</v>
      </c>
      <c r="BM363" s="61" t="s">
        <v>7</v>
      </c>
      <c r="BN363" s="59"/>
      <c r="BO363" s="59"/>
      <c r="BP363" s="59"/>
      <c r="BQ363" s="59"/>
      <c r="BR363" s="59"/>
      <c r="BS363" s="59"/>
      <c r="BT363" s="59"/>
      <c r="BU363" s="60"/>
      <c r="BV363" s="60"/>
      <c r="BW363" s="59"/>
      <c r="BX363" s="58"/>
    </row>
    <row r="364" spans="1:76" ht="21" hidden="1" customHeight="1" outlineLevel="1" x14ac:dyDescent="0.25">
      <c r="A364" s="39"/>
      <c r="B364" s="56"/>
      <c r="C364" s="53" t="s">
        <v>6</v>
      </c>
      <c r="D364" s="53" t="s">
        <v>5</v>
      </c>
      <c r="E364" s="46">
        <f>E363</f>
        <v>0</v>
      </c>
      <c r="F364" s="46">
        <f>E364*1.12</f>
        <v>0</v>
      </c>
      <c r="G364" s="55"/>
      <c r="H364" s="48"/>
      <c r="I364" s="46">
        <f>I363</f>
        <v>0</v>
      </c>
      <c r="J364" s="46">
        <f>I364*1.12</f>
        <v>0</v>
      </c>
      <c r="K364" s="54"/>
      <c r="L364" s="53"/>
      <c r="M364" s="52"/>
      <c r="N364" s="51">
        <f>P364</f>
        <v>0</v>
      </c>
      <c r="O364" s="50">
        <f>O363</f>
        <v>0</v>
      </c>
      <c r="P364" s="50"/>
      <c r="Q364" s="50">
        <f>P364*1.12</f>
        <v>0</v>
      </c>
      <c r="R364" s="49"/>
      <c r="S364" s="48"/>
      <c r="T364" s="47"/>
      <c r="U364" s="47">
        <f>T364*1.12</f>
        <v>0</v>
      </c>
      <c r="V364" s="47"/>
      <c r="W364" s="47"/>
      <c r="X364" s="47">
        <f>W364*1.12</f>
        <v>0</v>
      </c>
      <c r="Y364" s="45"/>
      <c r="Z364" s="46"/>
      <c r="AA364" s="46">
        <f>Z364*1.12</f>
        <v>0</v>
      </c>
      <c r="AB364" s="45"/>
      <c r="AC364" s="46"/>
      <c r="AD364" s="46">
        <f>AC364*1.12</f>
        <v>0</v>
      </c>
      <c r="AE364" s="45"/>
      <c r="AF364" s="46">
        <f>Z364+AC364+W364+T364</f>
        <v>0</v>
      </c>
      <c r="AG364" s="46">
        <f>AA364+AD364+X364+U364</f>
        <v>0</v>
      </c>
      <c r="AH364" s="45"/>
      <c r="AI364" s="46"/>
      <c r="AJ364" s="46">
        <f>AI364*1.12</f>
        <v>0</v>
      </c>
      <c r="AK364" s="45"/>
      <c r="AL364" s="46"/>
      <c r="AM364" s="41">
        <f>AL364*1.12</f>
        <v>0</v>
      </c>
      <c r="AN364" s="45"/>
      <c r="AO364" s="44">
        <f>AL364-AI364</f>
        <v>0</v>
      </c>
      <c r="AP364" s="44">
        <f>AM364-AJ364</f>
        <v>0</v>
      </c>
      <c r="AQ364" s="41"/>
      <c r="AR364" s="43" t="str">
        <f>IF(AI364=0,"",AL364/AI364)</f>
        <v/>
      </c>
      <c r="AS364" s="42"/>
      <c r="AT364" s="42"/>
      <c r="AU364" s="42"/>
      <c r="AV364" s="41">
        <f>AV363</f>
        <v>0</v>
      </c>
      <c r="AW364" s="41">
        <f>AV364*1.12</f>
        <v>0</v>
      </c>
      <c r="AX364" s="41"/>
      <c r="AY364" s="41"/>
      <c r="AZ364" s="41"/>
      <c r="BA364" s="41"/>
      <c r="BB364" s="41"/>
      <c r="BC364" s="41"/>
      <c r="BD364" s="41"/>
      <c r="BE364" s="41"/>
      <c r="BF364" s="41"/>
      <c r="BG364" s="41"/>
      <c r="BH364" s="41"/>
      <c r="BI364" s="41"/>
      <c r="BJ364" s="41"/>
      <c r="BK364" s="41"/>
      <c r="BL364" s="41"/>
      <c r="BM364" s="40"/>
      <c r="BN364" s="39"/>
      <c r="BO364" s="39"/>
      <c r="BP364" s="39"/>
      <c r="BQ364" s="39"/>
      <c r="BR364" s="39"/>
      <c r="BS364" s="39"/>
      <c r="BT364" s="39"/>
      <c r="BU364" s="25"/>
      <c r="BV364" s="25"/>
      <c r="BW364" s="39"/>
      <c r="BX364" s="38"/>
    </row>
    <row r="365" spans="1:76" collapsed="1" x14ac:dyDescent="0.25"/>
    <row r="369" spans="1:76" ht="22.5" outlineLevel="1" x14ac:dyDescent="0.3">
      <c r="A369" s="25"/>
      <c r="D369" s="35"/>
      <c r="E369" s="37" t="s">
        <v>4</v>
      </c>
      <c r="R369" s="28"/>
      <c r="S369" s="27" t="s">
        <v>3</v>
      </c>
      <c r="T369" s="28"/>
      <c r="U369" s="36"/>
      <c r="V369" s="27"/>
      <c r="W369" s="27"/>
      <c r="X369" s="27"/>
      <c r="Y369" s="27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K369" s="33"/>
      <c r="AL369" s="30"/>
      <c r="AM369" s="33"/>
      <c r="AN369" s="33"/>
      <c r="AO369" s="33"/>
      <c r="AP369" s="32"/>
      <c r="AQ369" s="31"/>
      <c r="AR369" s="30"/>
      <c r="AS369" s="8"/>
      <c r="AT369" s="29"/>
      <c r="AU369" s="29"/>
      <c r="AV369" s="17"/>
      <c r="AY369" s="26"/>
      <c r="AZ369" s="26"/>
      <c r="BA369" s="26"/>
      <c r="BB369" s="26"/>
      <c r="BC369" s="26"/>
      <c r="BD369" s="26"/>
      <c r="BE369" s="26"/>
      <c r="BF369" s="26"/>
      <c r="BG369" s="26"/>
      <c r="BH369" s="26"/>
      <c r="BI369" s="26"/>
      <c r="BJ369" s="26"/>
      <c r="BK369" s="26"/>
      <c r="BL369" s="26"/>
      <c r="BM369" s="25"/>
      <c r="BN369" s="25"/>
      <c r="BO369" s="25"/>
      <c r="BP369" s="25"/>
      <c r="BQ369" s="25"/>
      <c r="BR369" s="25"/>
      <c r="BS369" s="25"/>
      <c r="BT369" s="25"/>
    </row>
    <row r="370" spans="1:76" ht="22.5" outlineLevel="1" x14ac:dyDescent="0.3">
      <c r="A370" s="25"/>
      <c r="D370" s="35"/>
      <c r="E370" s="34"/>
      <c r="T370" s="27"/>
      <c r="U370" s="27"/>
      <c r="V370" s="27"/>
      <c r="W370" s="27"/>
      <c r="X370" s="27"/>
      <c r="Y370" s="27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K370" s="33"/>
      <c r="AL370" s="30"/>
      <c r="AM370" s="33"/>
      <c r="AN370" s="33"/>
      <c r="AO370" s="33"/>
      <c r="AP370" s="32"/>
      <c r="AQ370" s="31"/>
      <c r="AR370" s="30"/>
      <c r="AS370" s="8"/>
      <c r="AT370" s="29"/>
      <c r="AU370" s="29"/>
      <c r="AV370" s="17"/>
      <c r="AW370" s="28"/>
      <c r="AX370" s="27"/>
      <c r="AY370" s="26"/>
      <c r="AZ370" s="26"/>
      <c r="BA370" s="26"/>
      <c r="BB370" s="26"/>
      <c r="BC370" s="26"/>
      <c r="BD370" s="26"/>
      <c r="BE370" s="26"/>
      <c r="BF370" s="26"/>
      <c r="BG370" s="26"/>
      <c r="BH370" s="26"/>
      <c r="BI370" s="26"/>
      <c r="BJ370" s="26"/>
      <c r="BK370" s="26"/>
      <c r="BL370" s="26"/>
      <c r="BM370" s="25"/>
      <c r="BN370" s="25"/>
      <c r="BO370" s="25"/>
      <c r="BP370" s="25"/>
      <c r="BQ370" s="25"/>
      <c r="BR370" s="25"/>
      <c r="BS370" s="25"/>
      <c r="BT370" s="25"/>
    </row>
    <row r="371" spans="1:76" ht="22.5" outlineLevel="1" x14ac:dyDescent="0.3">
      <c r="A371" s="25"/>
      <c r="D371" s="35"/>
      <c r="E371" s="34"/>
      <c r="T371" s="27"/>
      <c r="U371" s="27"/>
      <c r="V371" s="27"/>
      <c r="W371" s="27"/>
      <c r="X371" s="27"/>
      <c r="Y371" s="27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K371" s="33"/>
      <c r="AL371" s="30"/>
      <c r="AM371" s="33"/>
      <c r="AN371" s="33"/>
      <c r="AO371" s="33"/>
      <c r="AP371" s="32"/>
      <c r="AQ371" s="31"/>
      <c r="AR371" s="30"/>
      <c r="AS371" s="8"/>
      <c r="AT371" s="29"/>
      <c r="AU371" s="29"/>
      <c r="AV371" s="17"/>
      <c r="AW371" s="28"/>
      <c r="AX371" s="27"/>
      <c r="AY371" s="26"/>
      <c r="AZ371" s="26"/>
      <c r="BA371" s="26"/>
      <c r="BB371" s="26"/>
      <c r="BC371" s="26"/>
      <c r="BD371" s="26"/>
      <c r="BE371" s="26"/>
      <c r="BF371" s="26"/>
      <c r="BG371" s="26"/>
      <c r="BH371" s="26"/>
      <c r="BI371" s="26"/>
      <c r="BJ371" s="26"/>
      <c r="BK371" s="26"/>
      <c r="BL371" s="26"/>
      <c r="BM371" s="25"/>
      <c r="BN371" s="25"/>
      <c r="BO371" s="25"/>
      <c r="BP371" s="25"/>
      <c r="BQ371" s="25"/>
      <c r="BR371" s="25"/>
      <c r="BS371" s="25"/>
      <c r="BT371" s="25"/>
    </row>
    <row r="372" spans="1:76" s="13" customFormat="1" ht="22.5" x14ac:dyDescent="0.3">
      <c r="D372" s="20"/>
      <c r="E372" s="24" t="s">
        <v>2</v>
      </c>
      <c r="H372" s="22"/>
      <c r="K372" s="23"/>
      <c r="S372" s="22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K372" s="15"/>
      <c r="AL372" s="19"/>
      <c r="AM372" s="15"/>
      <c r="AN372" s="15"/>
      <c r="AO372" s="15"/>
      <c r="AP372" s="21"/>
      <c r="AQ372" s="20"/>
      <c r="AR372" s="19"/>
      <c r="AS372" s="18"/>
      <c r="AT372" s="18"/>
      <c r="AU372" s="18"/>
      <c r="AV372" s="17"/>
      <c r="AW372" s="16"/>
      <c r="AX372" s="15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  <c r="BX372" s="2"/>
    </row>
    <row r="374" spans="1:76" ht="20.25" hidden="1" outlineLevel="1" x14ac:dyDescent="0.25">
      <c r="B374" s="12" t="s">
        <v>1</v>
      </c>
      <c r="L374" s="12" t="s">
        <v>0</v>
      </c>
    </row>
    <row r="375" spans="1:76" collapsed="1" x14ac:dyDescent="0.25"/>
  </sheetData>
  <autoFilter ref="A8:BT245" xr:uid="{00000000-0009-0000-0000-00000D000000}"/>
  <mergeCells count="768">
    <mergeCell ref="E2:S2"/>
    <mergeCell ref="A4:A7"/>
    <mergeCell ref="B4:B7"/>
    <mergeCell ref="C4:C7"/>
    <mergeCell ref="D4:D7"/>
    <mergeCell ref="E4:J4"/>
    <mergeCell ref="K4:S4"/>
    <mergeCell ref="R5:R7"/>
    <mergeCell ref="S5:S7"/>
    <mergeCell ref="AY4:BL4"/>
    <mergeCell ref="BO4:BQ4"/>
    <mergeCell ref="T5:V5"/>
    <mergeCell ref="W5:Y5"/>
    <mergeCell ref="Z5:AB5"/>
    <mergeCell ref="AC5:AE5"/>
    <mergeCell ref="M5:M7"/>
    <mergeCell ref="N5:Q5"/>
    <mergeCell ref="T4:AH4"/>
    <mergeCell ref="AI4:AR4"/>
    <mergeCell ref="AS4:AU5"/>
    <mergeCell ref="AV4:AX5"/>
    <mergeCell ref="AQ6:AQ7"/>
    <mergeCell ref="AR6:AR7"/>
    <mergeCell ref="BR4:BS4"/>
    <mergeCell ref="BT4:BT7"/>
    <mergeCell ref="E5:F6"/>
    <mergeCell ref="G5:G7"/>
    <mergeCell ref="H5:H7"/>
    <mergeCell ref="I5:J6"/>
    <mergeCell ref="K5:K7"/>
    <mergeCell ref="L5:L7"/>
    <mergeCell ref="BE5:BE6"/>
    <mergeCell ref="BF5:BF6"/>
    <mergeCell ref="AF5:AH5"/>
    <mergeCell ref="AI5:AK5"/>
    <mergeCell ref="AL5:AN5"/>
    <mergeCell ref="AO5:AR5"/>
    <mergeCell ref="AY5:AY6"/>
    <mergeCell ref="AZ5:AZ6"/>
    <mergeCell ref="AN6:AN7"/>
    <mergeCell ref="AO6:AP6"/>
    <mergeCell ref="BO5:BO7"/>
    <mergeCell ref="BP5:BP7"/>
    <mergeCell ref="BQ5:BQ7"/>
    <mergeCell ref="BR5:BR7"/>
    <mergeCell ref="BG5:BG6"/>
    <mergeCell ref="BH5:BH6"/>
    <mergeCell ref="BI5:BI6"/>
    <mergeCell ref="BJ5:BJ6"/>
    <mergeCell ref="BK5:BK6"/>
    <mergeCell ref="BL5:BL6"/>
    <mergeCell ref="Y6:Y7"/>
    <mergeCell ref="Z6:AA6"/>
    <mergeCell ref="AB6:AB7"/>
    <mergeCell ref="AC6:AD6"/>
    <mergeCell ref="BM5:BM7"/>
    <mergeCell ref="BN5:BN7"/>
    <mergeCell ref="BA5:BA6"/>
    <mergeCell ref="BB5:BB6"/>
    <mergeCell ref="BC5:BC6"/>
    <mergeCell ref="BD5:BD6"/>
    <mergeCell ref="AH6:AH7"/>
    <mergeCell ref="AI6:AJ6"/>
    <mergeCell ref="AK6:AK7"/>
    <mergeCell ref="AL6:AM6"/>
    <mergeCell ref="BS5:BS7"/>
    <mergeCell ref="N6:O6"/>
    <mergeCell ref="P6:Q6"/>
    <mergeCell ref="T6:U6"/>
    <mergeCell ref="V6:V7"/>
    <mergeCell ref="W6:X6"/>
    <mergeCell ref="AS6:AS7"/>
    <mergeCell ref="AT6:AT7"/>
    <mergeCell ref="AU6:AU7"/>
    <mergeCell ref="AV6:AW6"/>
    <mergeCell ref="AX6:AX7"/>
    <mergeCell ref="A9:A12"/>
    <mergeCell ref="B9:B12"/>
    <mergeCell ref="C11:C12"/>
    <mergeCell ref="AE6:AE7"/>
    <mergeCell ref="AF6:AG6"/>
    <mergeCell ref="A13:A16"/>
    <mergeCell ref="B13:B16"/>
    <mergeCell ref="C15:C16"/>
    <mergeCell ref="A17:A19"/>
    <mergeCell ref="B17:B19"/>
    <mergeCell ref="A20:A22"/>
    <mergeCell ref="B20:B22"/>
    <mergeCell ref="G20:G22"/>
    <mergeCell ref="H20:H22"/>
    <mergeCell ref="K20:K22"/>
    <mergeCell ref="L20:L22"/>
    <mergeCell ref="M20:M22"/>
    <mergeCell ref="R20:R22"/>
    <mergeCell ref="S20:S22"/>
    <mergeCell ref="A24:A26"/>
    <mergeCell ref="B24:B26"/>
    <mergeCell ref="A27:A41"/>
    <mergeCell ref="B27:B41"/>
    <mergeCell ref="G27:G29"/>
    <mergeCell ref="H27:H29"/>
    <mergeCell ref="K27:K29"/>
    <mergeCell ref="L27:L29"/>
    <mergeCell ref="M27:M29"/>
    <mergeCell ref="R27:R29"/>
    <mergeCell ref="S27:S29"/>
    <mergeCell ref="BM27:BM29"/>
    <mergeCell ref="G30:G32"/>
    <mergeCell ref="H30:H32"/>
    <mergeCell ref="K30:K32"/>
    <mergeCell ref="L30:L32"/>
    <mergeCell ref="M30:M32"/>
    <mergeCell ref="R30:R32"/>
    <mergeCell ref="S30:S32"/>
    <mergeCell ref="BM30:BM32"/>
    <mergeCell ref="G33:G35"/>
    <mergeCell ref="H33:H35"/>
    <mergeCell ref="K33:K35"/>
    <mergeCell ref="L33:L35"/>
    <mergeCell ref="M33:M35"/>
    <mergeCell ref="R33:R35"/>
    <mergeCell ref="S33:S35"/>
    <mergeCell ref="BM33:BM35"/>
    <mergeCell ref="G36:G38"/>
    <mergeCell ref="H36:H38"/>
    <mergeCell ref="K36:K38"/>
    <mergeCell ref="L36:L38"/>
    <mergeCell ref="M36:M38"/>
    <mergeCell ref="R36:R38"/>
    <mergeCell ref="S36:S38"/>
    <mergeCell ref="BM36:BM38"/>
    <mergeCell ref="G39:G41"/>
    <mergeCell ref="H39:H41"/>
    <mergeCell ref="K39:K41"/>
    <mergeCell ref="L39:L41"/>
    <mergeCell ref="M39:M41"/>
    <mergeCell ref="R39:R41"/>
    <mergeCell ref="S39:S41"/>
    <mergeCell ref="BM39:BM41"/>
    <mergeCell ref="A42:A83"/>
    <mergeCell ref="B42:B83"/>
    <mergeCell ref="G42:G44"/>
    <mergeCell ref="H42:H44"/>
    <mergeCell ref="K42:K56"/>
    <mergeCell ref="L42:L44"/>
    <mergeCell ref="H48:H50"/>
    <mergeCell ref="L48:L50"/>
    <mergeCell ref="G54:G56"/>
    <mergeCell ref="H54:H56"/>
    <mergeCell ref="M42:M44"/>
    <mergeCell ref="R42:R56"/>
    <mergeCell ref="S42:S44"/>
    <mergeCell ref="BM42:BM44"/>
    <mergeCell ref="G45:G47"/>
    <mergeCell ref="H45:H47"/>
    <mergeCell ref="L45:L47"/>
    <mergeCell ref="S45:S47"/>
    <mergeCell ref="BM45:BM47"/>
    <mergeCell ref="G48:G50"/>
    <mergeCell ref="S48:S50"/>
    <mergeCell ref="BM48:BM50"/>
    <mergeCell ref="G51:G53"/>
    <mergeCell ref="H51:H53"/>
    <mergeCell ref="L51:L53"/>
    <mergeCell ref="S51:S53"/>
    <mergeCell ref="BM51:BM53"/>
    <mergeCell ref="L54:L56"/>
    <mergeCell ref="S54:S56"/>
    <mergeCell ref="BM54:BM56"/>
    <mergeCell ref="G57:G59"/>
    <mergeCell ref="H57:H59"/>
    <mergeCell ref="K57:K83"/>
    <mergeCell ref="L57:L59"/>
    <mergeCell ref="M57:M59"/>
    <mergeCell ref="R57:R83"/>
    <mergeCell ref="S57:S59"/>
    <mergeCell ref="BM57:BM59"/>
    <mergeCell ref="G60:G62"/>
    <mergeCell ref="H60:H62"/>
    <mergeCell ref="L60:L62"/>
    <mergeCell ref="M60:M62"/>
    <mergeCell ref="S60:S62"/>
    <mergeCell ref="BM60:BM62"/>
    <mergeCell ref="G63:G65"/>
    <mergeCell ref="H63:H65"/>
    <mergeCell ref="L63:L65"/>
    <mergeCell ref="M63:M65"/>
    <mergeCell ref="S63:S65"/>
    <mergeCell ref="BM63:BM65"/>
    <mergeCell ref="G66:G68"/>
    <mergeCell ref="H66:H68"/>
    <mergeCell ref="L66:L68"/>
    <mergeCell ref="M66:M68"/>
    <mergeCell ref="S66:S68"/>
    <mergeCell ref="BM66:BM68"/>
    <mergeCell ref="G69:G71"/>
    <mergeCell ref="H69:H71"/>
    <mergeCell ref="L69:L71"/>
    <mergeCell ref="M69:M71"/>
    <mergeCell ref="S69:S71"/>
    <mergeCell ref="BM69:BM71"/>
    <mergeCell ref="G72:G74"/>
    <mergeCell ref="H72:H74"/>
    <mergeCell ref="L72:L74"/>
    <mergeCell ref="M72:M74"/>
    <mergeCell ref="S72:S74"/>
    <mergeCell ref="BM72:BM74"/>
    <mergeCell ref="G75:G77"/>
    <mergeCell ref="H75:H77"/>
    <mergeCell ref="L75:L77"/>
    <mergeCell ref="M75:M77"/>
    <mergeCell ref="S75:S77"/>
    <mergeCell ref="BM75:BM77"/>
    <mergeCell ref="G78:G80"/>
    <mergeCell ref="H78:H80"/>
    <mergeCell ref="L78:L80"/>
    <mergeCell ref="M78:M80"/>
    <mergeCell ref="S78:S80"/>
    <mergeCell ref="BM78:BM80"/>
    <mergeCell ref="G81:G83"/>
    <mergeCell ref="H81:H83"/>
    <mergeCell ref="L81:L83"/>
    <mergeCell ref="M81:M83"/>
    <mergeCell ref="S81:S83"/>
    <mergeCell ref="BM81:BM83"/>
    <mergeCell ref="A84:A98"/>
    <mergeCell ref="B84:B98"/>
    <mergeCell ref="G84:G86"/>
    <mergeCell ref="H84:H86"/>
    <mergeCell ref="K84:K86"/>
    <mergeCell ref="L84:L86"/>
    <mergeCell ref="K90:K92"/>
    <mergeCell ref="L90:L92"/>
    <mergeCell ref="K96:K98"/>
    <mergeCell ref="M84:M86"/>
    <mergeCell ref="R84:R86"/>
    <mergeCell ref="S84:S86"/>
    <mergeCell ref="BM84:BM86"/>
    <mergeCell ref="K87:K89"/>
    <mergeCell ref="L87:L89"/>
    <mergeCell ref="M87:M89"/>
    <mergeCell ref="R87:R89"/>
    <mergeCell ref="S87:S89"/>
    <mergeCell ref="BM87:BM89"/>
    <mergeCell ref="M90:M92"/>
    <mergeCell ref="R90:R92"/>
    <mergeCell ref="S90:S92"/>
    <mergeCell ref="BM90:BM92"/>
    <mergeCell ref="K93:K95"/>
    <mergeCell ref="L93:L98"/>
    <mergeCell ref="M93:M95"/>
    <mergeCell ref="R93:R98"/>
    <mergeCell ref="S93:S95"/>
    <mergeCell ref="BM93:BM95"/>
    <mergeCell ref="M96:M98"/>
    <mergeCell ref="S96:S98"/>
    <mergeCell ref="BM96:BM98"/>
    <mergeCell ref="A99:A101"/>
    <mergeCell ref="B99:B101"/>
    <mergeCell ref="G99:G101"/>
    <mergeCell ref="H99:H101"/>
    <mergeCell ref="K99:K101"/>
    <mergeCell ref="L99:L101"/>
    <mergeCell ref="M99:M101"/>
    <mergeCell ref="R99:R101"/>
    <mergeCell ref="S99:S101"/>
    <mergeCell ref="BM99:BM101"/>
    <mergeCell ref="A103:A106"/>
    <mergeCell ref="B103:B106"/>
    <mergeCell ref="C105:C106"/>
    <mergeCell ref="A107:A109"/>
    <mergeCell ref="B107:B109"/>
    <mergeCell ref="G107:G109"/>
    <mergeCell ref="H107:H109"/>
    <mergeCell ref="K107:K109"/>
    <mergeCell ref="L107:L109"/>
    <mergeCell ref="M107:M109"/>
    <mergeCell ref="R107:R109"/>
    <mergeCell ref="S107:S109"/>
    <mergeCell ref="BM107:BM109"/>
    <mergeCell ref="A110:A112"/>
    <mergeCell ref="B110:B112"/>
    <mergeCell ref="G110:G112"/>
    <mergeCell ref="H110:H112"/>
    <mergeCell ref="K110:K112"/>
    <mergeCell ref="L110:L112"/>
    <mergeCell ref="M110:M112"/>
    <mergeCell ref="R110:R112"/>
    <mergeCell ref="S110:S112"/>
    <mergeCell ref="A113:A115"/>
    <mergeCell ref="B113:B115"/>
    <mergeCell ref="G113:G115"/>
    <mergeCell ref="H113:H115"/>
    <mergeCell ref="K113:K115"/>
    <mergeCell ref="L113:L115"/>
    <mergeCell ref="M113:M115"/>
    <mergeCell ref="R113:R115"/>
    <mergeCell ref="S113:S115"/>
    <mergeCell ref="BM113:BM115"/>
    <mergeCell ref="A116:A118"/>
    <mergeCell ref="B116:B118"/>
    <mergeCell ref="G116:G118"/>
    <mergeCell ref="H116:H118"/>
    <mergeCell ref="K116:K118"/>
    <mergeCell ref="L116:L118"/>
    <mergeCell ref="M116:M118"/>
    <mergeCell ref="R116:R118"/>
    <mergeCell ref="S116:S118"/>
    <mergeCell ref="BM116:BM118"/>
    <mergeCell ref="A119:A121"/>
    <mergeCell ref="B119:B121"/>
    <mergeCell ref="BM119:BM121"/>
    <mergeCell ref="A122:A129"/>
    <mergeCell ref="B122:B129"/>
    <mergeCell ref="K122:L123"/>
    <mergeCell ref="M122:M123"/>
    <mergeCell ref="S122:S123"/>
    <mergeCell ref="G124:G129"/>
    <mergeCell ref="H124:H129"/>
    <mergeCell ref="K124:K126"/>
    <mergeCell ref="L124:L126"/>
    <mergeCell ref="M124:M126"/>
    <mergeCell ref="R124:R126"/>
    <mergeCell ref="S124:S126"/>
    <mergeCell ref="K127:K129"/>
    <mergeCell ref="L127:L129"/>
    <mergeCell ref="M127:M129"/>
    <mergeCell ref="R127:R129"/>
    <mergeCell ref="S127:S129"/>
    <mergeCell ref="A130:A137"/>
    <mergeCell ref="B130:B137"/>
    <mergeCell ref="K130:L131"/>
    <mergeCell ref="M130:M131"/>
    <mergeCell ref="S130:S131"/>
    <mergeCell ref="G132:G137"/>
    <mergeCell ref="H132:H137"/>
    <mergeCell ref="K132:K134"/>
    <mergeCell ref="L132:L134"/>
    <mergeCell ref="M132:M134"/>
    <mergeCell ref="R132:R134"/>
    <mergeCell ref="S132:S134"/>
    <mergeCell ref="K135:K137"/>
    <mergeCell ref="L135:L137"/>
    <mergeCell ref="M135:M137"/>
    <mergeCell ref="R135:R137"/>
    <mergeCell ref="S135:S137"/>
    <mergeCell ref="A138:A145"/>
    <mergeCell ref="B138:B145"/>
    <mergeCell ref="K138:L139"/>
    <mergeCell ref="M138:M139"/>
    <mergeCell ref="S138:S139"/>
    <mergeCell ref="G140:G145"/>
    <mergeCell ref="H140:H145"/>
    <mergeCell ref="K140:K142"/>
    <mergeCell ref="L140:L142"/>
    <mergeCell ref="M140:M142"/>
    <mergeCell ref="R140:R142"/>
    <mergeCell ref="S140:S142"/>
    <mergeCell ref="K143:K145"/>
    <mergeCell ref="L143:L145"/>
    <mergeCell ref="M143:M145"/>
    <mergeCell ref="R143:R145"/>
    <mergeCell ref="S143:S145"/>
    <mergeCell ref="A146:A171"/>
    <mergeCell ref="B146:B171"/>
    <mergeCell ref="K146:L147"/>
    <mergeCell ref="M146:M147"/>
    <mergeCell ref="S146:S147"/>
    <mergeCell ref="G148:G171"/>
    <mergeCell ref="H148:H171"/>
    <mergeCell ref="K148:K150"/>
    <mergeCell ref="L148:L150"/>
    <mergeCell ref="M148:M150"/>
    <mergeCell ref="R148:R156"/>
    <mergeCell ref="S148:S150"/>
    <mergeCell ref="K151:K153"/>
    <mergeCell ref="L151:L153"/>
    <mergeCell ref="M151:M153"/>
    <mergeCell ref="S151:S153"/>
    <mergeCell ref="K154:K156"/>
    <mergeCell ref="L154:L156"/>
    <mergeCell ref="M154:M156"/>
    <mergeCell ref="S154:S156"/>
    <mergeCell ref="K157:K159"/>
    <mergeCell ref="L157:L159"/>
    <mergeCell ref="M157:M159"/>
    <mergeCell ref="R157:R159"/>
    <mergeCell ref="S157:S159"/>
    <mergeCell ref="K160:K162"/>
    <mergeCell ref="L160:L162"/>
    <mergeCell ref="M160:M162"/>
    <mergeCell ref="R160:R162"/>
    <mergeCell ref="S160:S162"/>
    <mergeCell ref="K163:K165"/>
    <mergeCell ref="L163:L165"/>
    <mergeCell ref="M163:M165"/>
    <mergeCell ref="R163:R165"/>
    <mergeCell ref="S163:S165"/>
    <mergeCell ref="K166:K168"/>
    <mergeCell ref="L166:L168"/>
    <mergeCell ref="M166:M168"/>
    <mergeCell ref="R166:R168"/>
    <mergeCell ref="S166:S168"/>
    <mergeCell ref="K169:K171"/>
    <mergeCell ref="L169:L171"/>
    <mergeCell ref="M169:M171"/>
    <mergeCell ref="R169:R171"/>
    <mergeCell ref="S169:S171"/>
    <mergeCell ref="A172:A191"/>
    <mergeCell ref="B172:B191"/>
    <mergeCell ref="K172:L173"/>
    <mergeCell ref="M172:M173"/>
    <mergeCell ref="S172:S173"/>
    <mergeCell ref="G174:G191"/>
    <mergeCell ref="H174:H191"/>
    <mergeCell ref="K174:K176"/>
    <mergeCell ref="L174:L176"/>
    <mergeCell ref="M174:M176"/>
    <mergeCell ref="R174:R182"/>
    <mergeCell ref="K183:K185"/>
    <mergeCell ref="L183:L185"/>
    <mergeCell ref="M183:M185"/>
    <mergeCell ref="R183:R185"/>
    <mergeCell ref="S174:S176"/>
    <mergeCell ref="K177:K179"/>
    <mergeCell ref="L177:L179"/>
    <mergeCell ref="M177:M179"/>
    <mergeCell ref="S177:S179"/>
    <mergeCell ref="K180:K182"/>
    <mergeCell ref="L180:L182"/>
    <mergeCell ref="M180:M182"/>
    <mergeCell ref="S180:S182"/>
    <mergeCell ref="S183:S185"/>
    <mergeCell ref="K186:K188"/>
    <mergeCell ref="L186:L188"/>
    <mergeCell ref="M186:M188"/>
    <mergeCell ref="R186:R188"/>
    <mergeCell ref="S186:S188"/>
    <mergeCell ref="K189:K191"/>
    <mergeCell ref="L189:L191"/>
    <mergeCell ref="M189:M191"/>
    <mergeCell ref="R189:R191"/>
    <mergeCell ref="S189:S191"/>
    <mergeCell ref="A192:A214"/>
    <mergeCell ref="B192:B214"/>
    <mergeCell ref="K192:L193"/>
    <mergeCell ref="M192:M193"/>
    <mergeCell ref="S192:S193"/>
    <mergeCell ref="G194:G214"/>
    <mergeCell ref="H194:H214"/>
    <mergeCell ref="K194:K196"/>
    <mergeCell ref="L194:L196"/>
    <mergeCell ref="M194:M196"/>
    <mergeCell ref="R194:R202"/>
    <mergeCell ref="K203:K205"/>
    <mergeCell ref="L203:L205"/>
    <mergeCell ref="M203:M205"/>
    <mergeCell ref="R203:R205"/>
    <mergeCell ref="S194:S196"/>
    <mergeCell ref="K197:K199"/>
    <mergeCell ref="L197:L199"/>
    <mergeCell ref="M197:M199"/>
    <mergeCell ref="S197:S199"/>
    <mergeCell ref="K200:K202"/>
    <mergeCell ref="L200:L202"/>
    <mergeCell ref="M200:M202"/>
    <mergeCell ref="S200:S202"/>
    <mergeCell ref="S203:S205"/>
    <mergeCell ref="K206:K208"/>
    <mergeCell ref="L206:L208"/>
    <mergeCell ref="M206:M208"/>
    <mergeCell ref="R206:R208"/>
    <mergeCell ref="S206:S208"/>
    <mergeCell ref="K209:K211"/>
    <mergeCell ref="L209:L211"/>
    <mergeCell ref="M209:M211"/>
    <mergeCell ref="R209:R211"/>
    <mergeCell ref="S209:S211"/>
    <mergeCell ref="K212:K214"/>
    <mergeCell ref="L212:L214"/>
    <mergeCell ref="M212:M214"/>
    <mergeCell ref="R212:R214"/>
    <mergeCell ref="S212:S214"/>
    <mergeCell ref="A215:A234"/>
    <mergeCell ref="B215:B234"/>
    <mergeCell ref="K215:L216"/>
    <mergeCell ref="M215:M216"/>
    <mergeCell ref="S215:S216"/>
    <mergeCell ref="G217:G234"/>
    <mergeCell ref="H217:H234"/>
    <mergeCell ref="K217:K219"/>
    <mergeCell ref="L217:L219"/>
    <mergeCell ref="M217:M219"/>
    <mergeCell ref="R217:R222"/>
    <mergeCell ref="S217:S219"/>
    <mergeCell ref="K220:K222"/>
    <mergeCell ref="L220:L222"/>
    <mergeCell ref="M220:M222"/>
    <mergeCell ref="S220:S222"/>
    <mergeCell ref="K223:K225"/>
    <mergeCell ref="L223:L225"/>
    <mergeCell ref="M223:M225"/>
    <mergeCell ref="R223:R225"/>
    <mergeCell ref="S223:S225"/>
    <mergeCell ref="K226:K228"/>
    <mergeCell ref="L226:L228"/>
    <mergeCell ref="M226:M228"/>
    <mergeCell ref="R226:R228"/>
    <mergeCell ref="S226:S228"/>
    <mergeCell ref="K229:K231"/>
    <mergeCell ref="L229:L231"/>
    <mergeCell ref="M229:M231"/>
    <mergeCell ref="R229:R231"/>
    <mergeCell ref="S229:S231"/>
    <mergeCell ref="K232:K234"/>
    <mergeCell ref="L232:L234"/>
    <mergeCell ref="M232:M234"/>
    <mergeCell ref="R232:R234"/>
    <mergeCell ref="S232:S234"/>
    <mergeCell ref="K235:L236"/>
    <mergeCell ref="M235:M236"/>
    <mergeCell ref="S235:S236"/>
    <mergeCell ref="A237:A245"/>
    <mergeCell ref="B237:B245"/>
    <mergeCell ref="G237:G245"/>
    <mergeCell ref="H237:H245"/>
    <mergeCell ref="K237:K239"/>
    <mergeCell ref="L237:L239"/>
    <mergeCell ref="M237:M239"/>
    <mergeCell ref="R237:R239"/>
    <mergeCell ref="S237:S239"/>
    <mergeCell ref="BW237:BW245"/>
    <mergeCell ref="BX237:BX245"/>
    <mergeCell ref="K240:K242"/>
    <mergeCell ref="L240:L242"/>
    <mergeCell ref="M240:M242"/>
    <mergeCell ref="R240:R242"/>
    <mergeCell ref="S240:S242"/>
    <mergeCell ref="K243:K245"/>
    <mergeCell ref="L243:L245"/>
    <mergeCell ref="M243:M245"/>
    <mergeCell ref="R243:R245"/>
    <mergeCell ref="S243:S245"/>
    <mergeCell ref="A246:A251"/>
    <mergeCell ref="B246:B251"/>
    <mergeCell ref="G246:G251"/>
    <mergeCell ref="H246:H251"/>
    <mergeCell ref="K246:K248"/>
    <mergeCell ref="L246:L248"/>
    <mergeCell ref="M246:M248"/>
    <mergeCell ref="R246:R248"/>
    <mergeCell ref="S246:S248"/>
    <mergeCell ref="BW246:BW251"/>
    <mergeCell ref="BX246:BX251"/>
    <mergeCell ref="K249:K251"/>
    <mergeCell ref="L249:L251"/>
    <mergeCell ref="M249:M251"/>
    <mergeCell ref="R249:R251"/>
    <mergeCell ref="S249:S251"/>
    <mergeCell ref="A252:A296"/>
    <mergeCell ref="B252:B296"/>
    <mergeCell ref="G252:G296"/>
    <mergeCell ref="H252:H296"/>
    <mergeCell ref="K252:K254"/>
    <mergeCell ref="L252:L254"/>
    <mergeCell ref="K258:K260"/>
    <mergeCell ref="L258:L260"/>
    <mergeCell ref="K264:K266"/>
    <mergeCell ref="L264:L266"/>
    <mergeCell ref="M252:M254"/>
    <mergeCell ref="R252:R254"/>
    <mergeCell ref="S252:S254"/>
    <mergeCell ref="BW252:BW296"/>
    <mergeCell ref="BX252:BX296"/>
    <mergeCell ref="K255:K257"/>
    <mergeCell ref="L255:L257"/>
    <mergeCell ref="M255:M257"/>
    <mergeCell ref="R255:R257"/>
    <mergeCell ref="S255:S257"/>
    <mergeCell ref="M258:M260"/>
    <mergeCell ref="R258:R260"/>
    <mergeCell ref="S258:S260"/>
    <mergeCell ref="K261:K263"/>
    <mergeCell ref="L261:L263"/>
    <mergeCell ref="M261:M263"/>
    <mergeCell ref="R261:R263"/>
    <mergeCell ref="S261:S263"/>
    <mergeCell ref="M264:M266"/>
    <mergeCell ref="R264:R266"/>
    <mergeCell ref="S264:S266"/>
    <mergeCell ref="K267:K269"/>
    <mergeCell ref="L267:L269"/>
    <mergeCell ref="M267:M269"/>
    <mergeCell ref="R267:R269"/>
    <mergeCell ref="S267:S269"/>
    <mergeCell ref="K270:K272"/>
    <mergeCell ref="L270:L272"/>
    <mergeCell ref="M270:M272"/>
    <mergeCell ref="R270:R272"/>
    <mergeCell ref="S270:S272"/>
    <mergeCell ref="K273:K275"/>
    <mergeCell ref="L273:L275"/>
    <mergeCell ref="M273:M275"/>
    <mergeCell ref="R273:R275"/>
    <mergeCell ref="S273:S275"/>
    <mergeCell ref="K276:K278"/>
    <mergeCell ref="L276:L278"/>
    <mergeCell ref="M276:M278"/>
    <mergeCell ref="R276:R278"/>
    <mergeCell ref="S276:S278"/>
    <mergeCell ref="K279:K281"/>
    <mergeCell ref="L279:L281"/>
    <mergeCell ref="M279:M281"/>
    <mergeCell ref="R279:R281"/>
    <mergeCell ref="S279:S281"/>
    <mergeCell ref="K282:K284"/>
    <mergeCell ref="L282:L284"/>
    <mergeCell ref="M282:M284"/>
    <mergeCell ref="R282:R284"/>
    <mergeCell ref="S282:S284"/>
    <mergeCell ref="K285:K287"/>
    <mergeCell ref="L285:L287"/>
    <mergeCell ref="M285:M287"/>
    <mergeCell ref="R285:R287"/>
    <mergeCell ref="S285:S287"/>
    <mergeCell ref="K288:K290"/>
    <mergeCell ref="L288:L290"/>
    <mergeCell ref="M288:M290"/>
    <mergeCell ref="R288:R290"/>
    <mergeCell ref="S288:S290"/>
    <mergeCell ref="K291:K293"/>
    <mergeCell ref="L291:L293"/>
    <mergeCell ref="M291:M293"/>
    <mergeCell ref="R291:R293"/>
    <mergeCell ref="S291:S293"/>
    <mergeCell ref="K294:K296"/>
    <mergeCell ref="L294:L296"/>
    <mergeCell ref="M294:M296"/>
    <mergeCell ref="R294:R296"/>
    <mergeCell ref="S294:S296"/>
    <mergeCell ref="A297:A341"/>
    <mergeCell ref="B297:B341"/>
    <mergeCell ref="G297:G341"/>
    <mergeCell ref="H297:H341"/>
    <mergeCell ref="K297:K299"/>
    <mergeCell ref="L297:L299"/>
    <mergeCell ref="M297:M299"/>
    <mergeCell ref="R297:R299"/>
    <mergeCell ref="S297:S299"/>
    <mergeCell ref="BW297:BW341"/>
    <mergeCell ref="BX297:BX341"/>
    <mergeCell ref="K300:K302"/>
    <mergeCell ref="L300:L302"/>
    <mergeCell ref="M300:M302"/>
    <mergeCell ref="R300:R302"/>
    <mergeCell ref="S300:S302"/>
    <mergeCell ref="K303:K305"/>
    <mergeCell ref="L303:L305"/>
    <mergeCell ref="M303:M305"/>
    <mergeCell ref="R303:R305"/>
    <mergeCell ref="S303:S305"/>
    <mergeCell ref="K306:K308"/>
    <mergeCell ref="L306:L308"/>
    <mergeCell ref="M306:M308"/>
    <mergeCell ref="R306:R308"/>
    <mergeCell ref="S306:S308"/>
    <mergeCell ref="K309:K311"/>
    <mergeCell ref="L309:L311"/>
    <mergeCell ref="M309:M311"/>
    <mergeCell ref="R309:R311"/>
    <mergeCell ref="S309:S311"/>
    <mergeCell ref="K312:K314"/>
    <mergeCell ref="L312:L314"/>
    <mergeCell ref="M312:M314"/>
    <mergeCell ref="R312:R314"/>
    <mergeCell ref="S312:S314"/>
    <mergeCell ref="K315:K317"/>
    <mergeCell ref="L315:L317"/>
    <mergeCell ref="M315:M317"/>
    <mergeCell ref="R315:R317"/>
    <mergeCell ref="S315:S317"/>
    <mergeCell ref="K318:K320"/>
    <mergeCell ref="L318:L320"/>
    <mergeCell ref="M318:M320"/>
    <mergeCell ref="R318:R320"/>
    <mergeCell ref="S318:S320"/>
    <mergeCell ref="K321:K323"/>
    <mergeCell ref="L321:L323"/>
    <mergeCell ref="M321:M323"/>
    <mergeCell ref="R321:R323"/>
    <mergeCell ref="S321:S323"/>
    <mergeCell ref="K324:K326"/>
    <mergeCell ref="L324:L326"/>
    <mergeCell ref="M324:M326"/>
    <mergeCell ref="R324:R326"/>
    <mergeCell ref="S324:S326"/>
    <mergeCell ref="K327:K329"/>
    <mergeCell ref="L327:L329"/>
    <mergeCell ref="M327:M329"/>
    <mergeCell ref="R327:R329"/>
    <mergeCell ref="S327:S329"/>
    <mergeCell ref="K330:K332"/>
    <mergeCell ref="L330:L332"/>
    <mergeCell ref="M330:M332"/>
    <mergeCell ref="R330:R332"/>
    <mergeCell ref="S330:S332"/>
    <mergeCell ref="K333:K335"/>
    <mergeCell ref="L333:L335"/>
    <mergeCell ref="M333:M335"/>
    <mergeCell ref="R333:R335"/>
    <mergeCell ref="S333:S335"/>
    <mergeCell ref="K336:K338"/>
    <mergeCell ref="L336:L338"/>
    <mergeCell ref="M336:M338"/>
    <mergeCell ref="R336:R338"/>
    <mergeCell ref="S336:S338"/>
    <mergeCell ref="K339:K341"/>
    <mergeCell ref="L339:L341"/>
    <mergeCell ref="M339:M341"/>
    <mergeCell ref="R339:R341"/>
    <mergeCell ref="S339:S341"/>
    <mergeCell ref="A342:A344"/>
    <mergeCell ref="B342:B344"/>
    <mergeCell ref="A345:A346"/>
    <mergeCell ref="B345:B346"/>
    <mergeCell ref="A347:A360"/>
    <mergeCell ref="B347:B360"/>
    <mergeCell ref="K349:K350"/>
    <mergeCell ref="L349:L350"/>
    <mergeCell ref="M349:M350"/>
    <mergeCell ref="R349:R350"/>
    <mergeCell ref="S349:S350"/>
    <mergeCell ref="BM349:BM350"/>
    <mergeCell ref="K351:K352"/>
    <mergeCell ref="L351:L352"/>
    <mergeCell ref="M351:M352"/>
    <mergeCell ref="R351:R352"/>
    <mergeCell ref="S351:S352"/>
    <mergeCell ref="BM351:BM352"/>
    <mergeCell ref="K353:K354"/>
    <mergeCell ref="L353:L354"/>
    <mergeCell ref="M353:M354"/>
    <mergeCell ref="R353:R354"/>
    <mergeCell ref="S353:S354"/>
    <mergeCell ref="BM353:BM354"/>
    <mergeCell ref="K355:K356"/>
    <mergeCell ref="L355:L356"/>
    <mergeCell ref="M355:M356"/>
    <mergeCell ref="R355:R356"/>
    <mergeCell ref="S355:S356"/>
    <mergeCell ref="BM355:BM356"/>
    <mergeCell ref="BM359:BM360"/>
    <mergeCell ref="K357:K358"/>
    <mergeCell ref="L357:L358"/>
    <mergeCell ref="M357:M358"/>
    <mergeCell ref="R357:R358"/>
    <mergeCell ref="S357:S358"/>
    <mergeCell ref="BM357:BM358"/>
    <mergeCell ref="A361:A362"/>
    <mergeCell ref="B361:B362"/>
    <mergeCell ref="B363:B364"/>
    <mergeCell ref="G363:G364"/>
    <mergeCell ref="BM363:BM364"/>
    <mergeCell ref="K359:K360"/>
    <mergeCell ref="L359:L360"/>
    <mergeCell ref="M359:M360"/>
    <mergeCell ref="R359:R360"/>
    <mergeCell ref="S359:S360"/>
  </mergeCells>
  <pageMargins left="0.15748031496062992" right="0.15748031496062992" top="0.62992125984251968" bottom="0.15748031496062992" header="0.70866141732283472" footer="0.15748031496062992"/>
  <pageSetup paperSize="9" scale="44" fitToWidth="16" fitToHeight="2" orientation="landscape" r:id="rId1"/>
  <rowBreaks count="4" manualBreakCount="4">
    <brk id="129" max="64" man="1"/>
    <brk id="199" max="64" man="1"/>
    <brk id="275" max="64" man="1"/>
    <brk id="372" max="64" man="1"/>
  </rowBreaks>
  <colBreaks count="1" manualBreakCount="1">
    <brk id="34" max="37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дек18 (факт)</vt:lpstr>
      <vt:lpstr>'дек18 (факт)'!Заголовки_для_печати</vt:lpstr>
      <vt:lpstr>'дек18 (факт)'!Область_печати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Асель М. Кузетова</dc:creator>
  <cp:lastModifiedBy>Асель М. Кузетова</cp:lastModifiedBy>
  <dcterms:created xsi:type="dcterms:W3CDTF">2019-01-17T04:36:40Z</dcterms:created>
  <dcterms:modified xsi:type="dcterms:W3CDTF">2019-01-17T04:38:28Z</dcterms:modified>
</cp:coreProperties>
</file>